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peha\AppData\Local\AcadreCache\"/>
    </mc:Choice>
  </mc:AlternateContent>
  <xr:revisionPtr revIDLastSave="0" documentId="8_{EB077033-D716-4F69-B17D-9F9A88B436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de 1" sheetId="3" r:id="rId1"/>
    <sheet name="Side 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6" i="4" l="1"/>
  <c r="Q15" i="4"/>
  <c r="Q14" i="4"/>
  <c r="Q13" i="4"/>
  <c r="Q12" i="4"/>
  <c r="Q10" i="4"/>
  <c r="Q9" i="4"/>
  <c r="Q8" i="4"/>
  <c r="Q7" i="4"/>
  <c r="K15" i="4"/>
  <c r="K14" i="4"/>
  <c r="K13" i="4"/>
  <c r="K11" i="4"/>
  <c r="K10" i="4"/>
  <c r="K9" i="4"/>
  <c r="I16" i="4"/>
  <c r="I15" i="4"/>
  <c r="I14" i="4"/>
  <c r="I13" i="4"/>
  <c r="I12" i="4"/>
  <c r="I11" i="4"/>
  <c r="I9" i="4"/>
  <c r="I8" i="4"/>
  <c r="I7" i="4"/>
  <c r="C9" i="4"/>
  <c r="C18" i="4" s="1"/>
  <c r="U16" i="3"/>
  <c r="U15" i="3"/>
  <c r="U14" i="3"/>
  <c r="U13" i="3"/>
  <c r="U12" i="3"/>
  <c r="U11" i="3"/>
  <c r="U10" i="3"/>
  <c r="U9" i="3"/>
  <c r="U8" i="3"/>
  <c r="U7" i="3"/>
  <c r="O16" i="3"/>
  <c r="O15" i="3"/>
  <c r="O14" i="3"/>
  <c r="M8" i="3"/>
  <c r="M7" i="3"/>
  <c r="M18" i="3" s="1"/>
  <c r="K15" i="3"/>
  <c r="K9" i="3"/>
  <c r="K16" i="3"/>
  <c r="K14" i="3"/>
  <c r="K13" i="3"/>
  <c r="K12" i="3"/>
  <c r="K11" i="3"/>
  <c r="K10" i="3"/>
  <c r="K8" i="3"/>
  <c r="K7" i="3"/>
  <c r="U14" i="4"/>
  <c r="U9" i="4"/>
  <c r="U16" i="4"/>
  <c r="U15" i="4"/>
  <c r="U13" i="4"/>
  <c r="U12" i="4"/>
  <c r="U11" i="4"/>
  <c r="U10" i="4"/>
  <c r="U8" i="4"/>
  <c r="U7" i="4"/>
  <c r="S14" i="4"/>
  <c r="S13" i="4"/>
  <c r="S12" i="4"/>
  <c r="S11" i="4"/>
  <c r="S9" i="4"/>
  <c r="S8" i="4"/>
  <c r="O13" i="4"/>
  <c r="O12" i="4"/>
  <c r="O11" i="4"/>
  <c r="O10" i="4"/>
  <c r="O9" i="4"/>
  <c r="O8" i="4"/>
  <c r="M16" i="4"/>
  <c r="M15" i="4"/>
  <c r="M14" i="4"/>
  <c r="M13" i="4"/>
  <c r="M12" i="4"/>
  <c r="M11" i="4"/>
  <c r="M10" i="4"/>
  <c r="M9" i="4"/>
  <c r="M8" i="4"/>
  <c r="M7" i="4"/>
  <c r="G16" i="4"/>
  <c r="G15" i="4"/>
  <c r="G14" i="4"/>
  <c r="G13" i="4"/>
  <c r="G12" i="4"/>
  <c r="G11" i="4"/>
  <c r="G10" i="4"/>
  <c r="G9" i="4"/>
  <c r="G8" i="4"/>
  <c r="G7" i="4"/>
  <c r="E16" i="4"/>
  <c r="E14" i="4"/>
  <c r="E13" i="4"/>
  <c r="E12" i="4"/>
  <c r="E11" i="4"/>
  <c r="E10" i="4"/>
  <c r="E9" i="4"/>
  <c r="E8" i="4"/>
  <c r="E7" i="4"/>
  <c r="W16" i="3"/>
  <c r="W15" i="3"/>
  <c r="W14" i="3"/>
  <c r="W13" i="3"/>
  <c r="W12" i="3"/>
  <c r="W11" i="3"/>
  <c r="W10" i="3"/>
  <c r="W9" i="3"/>
  <c r="W8" i="3"/>
  <c r="W7" i="3"/>
  <c r="Y16" i="3"/>
  <c r="Y15" i="3"/>
  <c r="Y14" i="3"/>
  <c r="Y13" i="3"/>
  <c r="Y8" i="3"/>
  <c r="S16" i="3"/>
  <c r="S15" i="3"/>
  <c r="S14" i="3"/>
  <c r="S13" i="3"/>
  <c r="S12" i="3"/>
  <c r="S11" i="3"/>
  <c r="S10" i="3"/>
  <c r="S9" i="3"/>
  <c r="S7" i="3"/>
  <c r="Q16" i="3"/>
  <c r="Q15" i="3"/>
  <c r="Q14" i="3"/>
  <c r="Q13" i="3"/>
  <c r="Q12" i="3"/>
  <c r="Q11" i="3"/>
  <c r="Q10" i="3"/>
  <c r="Q9" i="3"/>
  <c r="Q8" i="3"/>
  <c r="Q7" i="3"/>
  <c r="I16" i="3"/>
  <c r="I15" i="3"/>
  <c r="I14" i="3"/>
  <c r="I13" i="3"/>
  <c r="I12" i="3"/>
  <c r="I11" i="3"/>
  <c r="I10" i="3"/>
  <c r="I9" i="3"/>
  <c r="I8" i="3"/>
  <c r="I7" i="3"/>
  <c r="G16" i="3"/>
  <c r="G15" i="3"/>
  <c r="G14" i="3"/>
  <c r="G13" i="3"/>
  <c r="G12" i="3"/>
  <c r="G11" i="3"/>
  <c r="G10" i="3"/>
  <c r="G9" i="3"/>
  <c r="G8" i="3"/>
  <c r="G7" i="3"/>
  <c r="E16" i="3"/>
  <c r="E15" i="3"/>
  <c r="E14" i="3"/>
  <c r="E13" i="3"/>
  <c r="E12" i="3"/>
  <c r="E11" i="3"/>
  <c r="E10" i="3"/>
  <c r="E9" i="3"/>
  <c r="E8" i="3"/>
  <c r="E7" i="3"/>
  <c r="C16" i="3"/>
  <c r="C14" i="3"/>
  <c r="C12" i="3"/>
  <c r="AC26" i="4"/>
  <c r="AC33" i="4"/>
  <c r="AC32" i="4"/>
  <c r="AB17" i="4"/>
  <c r="AA18" i="4"/>
  <c r="Y18" i="4"/>
  <c r="F18" i="3"/>
  <c r="AC24" i="4"/>
  <c r="AC22" i="4"/>
  <c r="AC20" i="4"/>
  <c r="AC28" i="3"/>
  <c r="AB13" i="4"/>
  <c r="A26" i="4"/>
  <c r="AD26" i="4" s="1"/>
  <c r="AB8" i="4"/>
  <c r="AB9" i="4"/>
  <c r="AB10" i="4"/>
  <c r="AB11" i="4"/>
  <c r="AB12" i="4"/>
  <c r="AB14" i="4"/>
  <c r="AB15" i="4"/>
  <c r="AB16" i="4"/>
  <c r="AB7" i="4"/>
  <c r="AC17" i="4"/>
  <c r="A1" i="4"/>
  <c r="A2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B28" i="4"/>
  <c r="D18" i="4"/>
  <c r="D30" i="4" s="1"/>
  <c r="F18" i="4"/>
  <c r="H18" i="4"/>
  <c r="H30" i="4" s="1"/>
  <c r="J18" i="4"/>
  <c r="J30" i="4" s="1"/>
  <c r="L18" i="4"/>
  <c r="L30" i="4" s="1"/>
  <c r="N18" i="4"/>
  <c r="P18" i="4"/>
  <c r="P30" i="4" s="1"/>
  <c r="R18" i="4"/>
  <c r="T18" i="4"/>
  <c r="T30" i="4" s="1"/>
  <c r="V18" i="4"/>
  <c r="W18" i="4"/>
  <c r="W30" i="4" s="1"/>
  <c r="X18" i="4"/>
  <c r="X30" i="4" s="1"/>
  <c r="Z18" i="4"/>
  <c r="B18" i="4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B28" i="3"/>
  <c r="AC18" i="3"/>
  <c r="AC30" i="3" s="1"/>
  <c r="AB18" i="3"/>
  <c r="AA18" i="3"/>
  <c r="AA30" i="3" s="1"/>
  <c r="Z18" i="3"/>
  <c r="X18" i="3"/>
  <c r="V18" i="3"/>
  <c r="T18" i="3"/>
  <c r="R18" i="3"/>
  <c r="P18" i="3"/>
  <c r="N18" i="3"/>
  <c r="L18" i="3"/>
  <c r="J18" i="3"/>
  <c r="J30" i="3" s="1"/>
  <c r="H18" i="3"/>
  <c r="D18" i="3"/>
  <c r="B18" i="3"/>
  <c r="B30" i="3" s="1"/>
  <c r="O18" i="3" l="1"/>
  <c r="O30" i="3" s="1"/>
  <c r="AC28" i="4"/>
  <c r="AA30" i="4"/>
  <c r="Y30" i="4"/>
  <c r="B30" i="4"/>
  <c r="C30" i="4"/>
  <c r="Z30" i="3"/>
  <c r="M30" i="3"/>
  <c r="Z30" i="4"/>
  <c r="Q18" i="4"/>
  <c r="Q30" i="4" s="1"/>
  <c r="K18" i="4"/>
  <c r="K30" i="4" s="1"/>
  <c r="I18" i="4"/>
  <c r="I30" i="4" s="1"/>
  <c r="U18" i="3"/>
  <c r="U30" i="3" s="1"/>
  <c r="N30" i="3"/>
  <c r="K18" i="3"/>
  <c r="K30" i="3" s="1"/>
  <c r="V30" i="4"/>
  <c r="S18" i="4"/>
  <c r="S30" i="4" s="1"/>
  <c r="O18" i="4"/>
  <c r="O30" i="4" s="1"/>
  <c r="N30" i="4"/>
  <c r="U18" i="4"/>
  <c r="U30" i="4" s="1"/>
  <c r="M18" i="4"/>
  <c r="M30" i="4" s="1"/>
  <c r="G18" i="4"/>
  <c r="G30" i="4" s="1"/>
  <c r="F30" i="4"/>
  <c r="E18" i="4"/>
  <c r="E30" i="4" s="1"/>
  <c r="Y18" i="3"/>
  <c r="Y30" i="3" s="1"/>
  <c r="W18" i="3"/>
  <c r="W30" i="3" s="1"/>
  <c r="V30" i="3"/>
  <c r="S18" i="3"/>
  <c r="S30" i="3" s="1"/>
  <c r="R30" i="3"/>
  <c r="AC14" i="4"/>
  <c r="Q18" i="3"/>
  <c r="Q30" i="3" s="1"/>
  <c r="I18" i="3"/>
  <c r="I30" i="3" s="1"/>
  <c r="AC12" i="4"/>
  <c r="AC11" i="4"/>
  <c r="G18" i="3"/>
  <c r="G30" i="3" s="1"/>
  <c r="AC8" i="4"/>
  <c r="H30" i="3"/>
  <c r="P30" i="3"/>
  <c r="X30" i="3"/>
  <c r="AB30" i="3"/>
  <c r="L30" i="3"/>
  <c r="T30" i="3"/>
  <c r="D30" i="3"/>
  <c r="AC7" i="4"/>
  <c r="AC15" i="4"/>
  <c r="F30" i="3"/>
  <c r="AC16" i="4"/>
  <c r="AC13" i="4"/>
  <c r="E18" i="3"/>
  <c r="E30" i="3" s="1"/>
  <c r="AC10" i="4"/>
  <c r="AC9" i="4"/>
  <c r="C18" i="3"/>
  <c r="C30" i="3" s="1"/>
  <c r="AB18" i="4"/>
  <c r="AB30" i="4" s="1"/>
  <c r="R30" i="4"/>
  <c r="AC18" i="4" l="1"/>
  <c r="AC30" i="4" s="1"/>
</calcChain>
</file>

<file path=xl/sharedStrings.xml><?xml version="1.0" encoding="utf-8"?>
<sst xmlns="http://schemas.openxmlformats.org/spreadsheetml/2006/main" count="178" uniqueCount="64">
  <si>
    <t>ESBJERG KOMMUNE</t>
  </si>
  <si>
    <t>AURASKOLEN</t>
  </si>
  <si>
    <t>BOHRSKOLEN</t>
  </si>
  <si>
    <t>COSMOSSKOLEN</t>
  </si>
  <si>
    <t>FORTUNASKOLEN</t>
  </si>
  <si>
    <t>BRYNDUM SKOLE AURA</t>
  </si>
  <si>
    <t>HJERTING SKOLE AURA</t>
  </si>
  <si>
    <t>SØNDERRISSKOLEN AURA</t>
  </si>
  <si>
    <t>FOURFELDTSKOLEN BOHR</t>
  </si>
  <si>
    <t>VITASKOLEN 
BOHR</t>
  </si>
  <si>
    <t>ÅDALSKOLEN 
BOHR</t>
  </si>
  <si>
    <t>BAKKESKOLEN COSMOS</t>
  </si>
  <si>
    <t>BOLDESAGER SKOLE COSMOS</t>
  </si>
  <si>
    <t>SPANGSBJERGSKOLEN COSMOS</t>
  </si>
  <si>
    <t>BAKKEVEJENS SKOLE FORTUNA</t>
  </si>
  <si>
    <t>NORDRE SKOLE FORTUNA</t>
  </si>
  <si>
    <t>GØRDING SKOLE FORTUNA</t>
  </si>
  <si>
    <t>VEJRUP SKOLE FORTUNA</t>
  </si>
  <si>
    <t>EGEKRATSKOLEN FORTUNA</t>
  </si>
  <si>
    <t>Klassetrin</t>
  </si>
  <si>
    <t>Klasser</t>
  </si>
  <si>
    <t>Elever</t>
  </si>
  <si>
    <t>0. kl.</t>
  </si>
  <si>
    <t>1. kl.</t>
  </si>
  <si>
    <t>2. kl.</t>
  </si>
  <si>
    <t>3. kl.</t>
  </si>
  <si>
    <t>4. kl.</t>
  </si>
  <si>
    <t>5. kl.</t>
  </si>
  <si>
    <t>6. kl.</t>
  </si>
  <si>
    <t>7. kl.</t>
  </si>
  <si>
    <t>8. kl.</t>
  </si>
  <si>
    <t>9. kl.</t>
  </si>
  <si>
    <t>10. kl.</t>
  </si>
  <si>
    <t>I alt 0.kl. til 10. kl.</t>
  </si>
  <si>
    <t>Spec.uv.center</t>
  </si>
  <si>
    <t>Specialklasser</t>
  </si>
  <si>
    <t>Spec.uv.grupper</t>
  </si>
  <si>
    <t>I alt spec.uv. m.m</t>
  </si>
  <si>
    <t>I alt</t>
  </si>
  <si>
    <t>Piger</t>
  </si>
  <si>
    <t>Drenge</t>
  </si>
  <si>
    <t>SIGNATURSKOLEN</t>
  </si>
  <si>
    <t>URBANSKOLEN</t>
  </si>
  <si>
    <t>VADEHAVSSKOLEN</t>
  </si>
  <si>
    <t>DARUM BØRNEBY</t>
  </si>
  <si>
    <t>STUDIE 10</t>
  </si>
  <si>
    <t>TOTAL ESBJERG KOMMUNE</t>
  </si>
  <si>
    <t>KVAGLUNDSKOLEN SIGNATUR</t>
  </si>
  <si>
    <t>SKADS SKOLE 
SIGNATUR</t>
  </si>
  <si>
    <t>TJÆREBORG SKOLE SIGNATUR</t>
  </si>
  <si>
    <t>DANMARKSGADES SKOLE URBAN</t>
  </si>
  <si>
    <t xml:space="preserve">PRÆSTEGÅRDSSKOLEN URBAN </t>
  </si>
  <si>
    <t>RØRKJÆR SKOLE 
URBAN</t>
  </si>
  <si>
    <t>EGEBÆK-HVIDING SKOLE VADEHAV</t>
  </si>
  <si>
    <t>VITTENBERGSKOLEN VADEHAV</t>
  </si>
  <si>
    <t>GREDSTEDBRO SKOLE VADEHAV</t>
  </si>
  <si>
    <t>ANSGARSKOLEN VADEHAV</t>
  </si>
  <si>
    <t>BRAMMING</t>
  </si>
  <si>
    <t>ESBJERG</t>
  </si>
  <si>
    <t>0. kl</t>
  </si>
  <si>
    <t>Elevtallet er ekskl. elever der er integreret i en normalklasse</t>
  </si>
  <si>
    <t>Klasse for ældre fr.sprogede</t>
  </si>
  <si>
    <t>Klasse for ældre fr.sprogede/modt kl</t>
  </si>
  <si>
    <t>Elevtal pr. 5.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</si>
</sst>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0">
    <xf numFmtId="0" fontId="0" fillId="0" borderId="0" xfId="0"/>
    <xf numFmtId="3" fontId="0" fillId="0" borderId="0" xfId="0" applyNumberFormat="1"/>
    <xf numFmtId="0" fontId="18" fillId="0" borderId="0" xfId="0" applyFont="1"/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19" fillId="0" borderId="10" xfId="0" applyFont="1" applyBorder="1" applyAlignment="1">
      <alignment horizontal="right" vertical="center"/>
    </xf>
    <xf numFmtId="0" fontId="19" fillId="0" borderId="21" xfId="0" applyFont="1" applyBorder="1"/>
    <xf numFmtId="0" fontId="19" fillId="0" borderId="21" xfId="0" applyFont="1" applyBorder="1" applyAlignment="1">
      <alignment vertical="center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 wrapText="1"/>
    </xf>
    <xf numFmtId="0" fontId="21" fillId="0" borderId="0" xfId="0" applyFont="1"/>
    <xf numFmtId="0" fontId="22" fillId="0" borderId="0" xfId="0" applyFont="1"/>
    <xf numFmtId="0" fontId="19" fillId="0" borderId="0" xfId="0" applyFont="1" applyAlignment="1">
      <alignment vertical="center" wrapText="1"/>
    </xf>
    <xf numFmtId="0" fontId="19" fillId="0" borderId="39" xfId="0" applyFont="1" applyBorder="1" applyAlignment="1">
      <alignment vertical="center" wrapText="1"/>
    </xf>
    <xf numFmtId="0" fontId="19" fillId="0" borderId="39" xfId="0" applyFont="1" applyBorder="1" applyAlignment="1">
      <alignment wrapText="1"/>
    </xf>
    <xf numFmtId="0" fontId="19" fillId="0" borderId="0" xfId="0" applyFont="1" applyAlignment="1">
      <alignment wrapText="1"/>
    </xf>
    <xf numFmtId="3" fontId="24" fillId="0" borderId="15" xfId="0" applyNumberFormat="1" applyFont="1" applyBorder="1" applyAlignment="1">
      <alignment horizontal="center"/>
    </xf>
    <xf numFmtId="3" fontId="24" fillId="0" borderId="17" xfId="0" applyNumberFormat="1" applyFont="1" applyBorder="1" applyAlignment="1">
      <alignment horizontal="center"/>
    </xf>
    <xf numFmtId="3" fontId="24" fillId="0" borderId="16" xfId="0" applyNumberFormat="1" applyFont="1" applyBorder="1" applyAlignment="1">
      <alignment horizontal="center"/>
    </xf>
    <xf numFmtId="3" fontId="24" fillId="0" borderId="18" xfId="0" applyNumberFormat="1" applyFont="1" applyBorder="1" applyAlignment="1">
      <alignment horizontal="center"/>
    </xf>
    <xf numFmtId="3" fontId="24" fillId="0" borderId="19" xfId="0" applyNumberFormat="1" applyFont="1" applyBorder="1" applyAlignment="1">
      <alignment horizontal="center"/>
    </xf>
    <xf numFmtId="3" fontId="24" fillId="0" borderId="33" xfId="0" applyNumberFormat="1" applyFont="1" applyBorder="1" applyAlignment="1">
      <alignment horizontal="center"/>
    </xf>
    <xf numFmtId="3" fontId="24" fillId="0" borderId="26" xfId="0" applyNumberFormat="1" applyFont="1" applyBorder="1" applyAlignment="1">
      <alignment horizontal="center"/>
    </xf>
    <xf numFmtId="3" fontId="24" fillId="0" borderId="44" xfId="0" applyNumberFormat="1" applyFont="1" applyBorder="1" applyAlignment="1">
      <alignment horizontal="center"/>
    </xf>
    <xf numFmtId="3" fontId="24" fillId="0" borderId="20" xfId="0" applyNumberFormat="1" applyFont="1" applyBorder="1" applyAlignment="1">
      <alignment horizontal="center"/>
    </xf>
    <xf numFmtId="3" fontId="24" fillId="0" borderId="10" xfId="0" applyNumberFormat="1" applyFont="1" applyBorder="1" applyAlignment="1">
      <alignment horizontal="center" vertical="center"/>
    </xf>
    <xf numFmtId="3" fontId="24" fillId="0" borderId="13" xfId="0" applyNumberFormat="1" applyFont="1" applyBorder="1" applyAlignment="1">
      <alignment horizontal="center" vertical="center"/>
    </xf>
    <xf numFmtId="3" fontId="24" fillId="0" borderId="46" xfId="0" applyNumberFormat="1" applyFont="1" applyBorder="1" applyAlignment="1">
      <alignment horizontal="center" vertical="center"/>
    </xf>
    <xf numFmtId="3" fontId="24" fillId="0" borderId="34" xfId="0" applyNumberFormat="1" applyFont="1" applyBorder="1" applyAlignment="1">
      <alignment horizontal="center"/>
    </xf>
    <xf numFmtId="3" fontId="24" fillId="0" borderId="32" xfId="0" applyNumberFormat="1" applyFont="1" applyBorder="1" applyAlignment="1">
      <alignment horizontal="center"/>
    </xf>
    <xf numFmtId="3" fontId="24" fillId="33" borderId="16" xfId="0" applyNumberFormat="1" applyFont="1" applyFill="1" applyBorder="1" applyAlignment="1">
      <alignment horizontal="center"/>
    </xf>
    <xf numFmtId="3" fontId="24" fillId="34" borderId="16" xfId="0" applyNumberFormat="1" applyFont="1" applyFill="1" applyBorder="1" applyAlignment="1">
      <alignment horizontal="center"/>
    </xf>
    <xf numFmtId="3" fontId="24" fillId="0" borderId="23" xfId="0" applyNumberFormat="1" applyFont="1" applyBorder="1" applyAlignment="1">
      <alignment horizontal="center"/>
    </xf>
    <xf numFmtId="3" fontId="24" fillId="0" borderId="21" xfId="0" applyNumberFormat="1" applyFont="1" applyBorder="1" applyAlignment="1">
      <alignment horizontal="center" vertical="center"/>
    </xf>
    <xf numFmtId="3" fontId="24" fillId="0" borderId="0" xfId="0" applyNumberFormat="1" applyFont="1" applyAlignment="1">
      <alignment horizontal="center"/>
    </xf>
    <xf numFmtId="3" fontId="24" fillId="0" borderId="35" xfId="0" applyNumberFormat="1" applyFont="1" applyBorder="1" applyAlignment="1">
      <alignment horizontal="center"/>
    </xf>
    <xf numFmtId="3" fontId="24" fillId="0" borderId="36" xfId="0" applyNumberFormat="1" applyFont="1" applyBorder="1" applyAlignment="1">
      <alignment horizontal="center"/>
    </xf>
    <xf numFmtId="3" fontId="24" fillId="0" borderId="37" xfId="0" applyNumberFormat="1" applyFont="1" applyBorder="1" applyAlignment="1">
      <alignment horizontal="center"/>
    </xf>
    <xf numFmtId="3" fontId="24" fillId="0" borderId="22" xfId="0" applyNumberFormat="1" applyFont="1" applyBorder="1" applyAlignment="1">
      <alignment horizontal="center" vertical="center"/>
    </xf>
    <xf numFmtId="3" fontId="24" fillId="0" borderId="23" xfId="0" applyNumberFormat="1" applyFont="1" applyBorder="1" applyAlignment="1">
      <alignment horizontal="center" vertical="center"/>
    </xf>
    <xf numFmtId="3" fontId="24" fillId="0" borderId="38" xfId="0" applyNumberFormat="1" applyFont="1" applyBorder="1" applyAlignment="1">
      <alignment horizontal="center" vertical="center"/>
    </xf>
    <xf numFmtId="3" fontId="24" fillId="0" borderId="24" xfId="0" applyNumberFormat="1" applyFont="1" applyBorder="1" applyAlignment="1">
      <alignment horizontal="center" vertical="center"/>
    </xf>
    <xf numFmtId="3" fontId="24" fillId="0" borderId="15" xfId="0" applyNumberFormat="1" applyFont="1" applyBorder="1" applyAlignment="1">
      <alignment horizontal="center" vertical="center"/>
    </xf>
    <xf numFmtId="3" fontId="24" fillId="0" borderId="16" xfId="0" applyNumberFormat="1" applyFont="1" applyBorder="1" applyAlignment="1">
      <alignment horizontal="center" vertical="center"/>
    </xf>
    <xf numFmtId="3" fontId="24" fillId="0" borderId="25" xfId="0" applyNumberFormat="1" applyFont="1" applyBorder="1" applyAlignment="1">
      <alignment horizontal="center" vertical="center"/>
    </xf>
    <xf numFmtId="3" fontId="24" fillId="0" borderId="26" xfId="0" applyNumberFormat="1" applyFont="1" applyBorder="1" applyAlignment="1">
      <alignment horizontal="center" vertical="center"/>
    </xf>
    <xf numFmtId="3" fontId="24" fillId="0" borderId="41" xfId="0" applyNumberFormat="1" applyFont="1" applyBorder="1" applyAlignment="1">
      <alignment horizontal="center" vertical="center"/>
    </xf>
    <xf numFmtId="3" fontId="24" fillId="0" borderId="17" xfId="0" applyNumberFormat="1" applyFont="1" applyBorder="1" applyAlignment="1">
      <alignment horizontal="center" vertical="center"/>
    </xf>
    <xf numFmtId="3" fontId="24" fillId="0" borderId="18" xfId="0" applyNumberFormat="1" applyFont="1" applyBorder="1" applyAlignment="1">
      <alignment horizontal="center" vertical="center"/>
    </xf>
    <xf numFmtId="3" fontId="24" fillId="0" borderId="42" xfId="0" applyNumberFormat="1" applyFont="1" applyBorder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3" fontId="24" fillId="0" borderId="33" xfId="0" applyNumberFormat="1" applyFont="1" applyBorder="1" applyAlignment="1">
      <alignment horizontal="center" vertical="center"/>
    </xf>
    <xf numFmtId="3" fontId="24" fillId="0" borderId="43" xfId="0" applyNumberFormat="1" applyFont="1" applyBorder="1" applyAlignment="1">
      <alignment horizontal="center" vertical="center"/>
    </xf>
    <xf numFmtId="3" fontId="24" fillId="0" borderId="20" xfId="0" applyNumberFormat="1" applyFont="1" applyBorder="1" applyAlignment="1">
      <alignment horizontal="center" vertical="center"/>
    </xf>
    <xf numFmtId="3" fontId="24" fillId="0" borderId="19" xfId="0" applyNumberFormat="1" applyFont="1" applyBorder="1" applyAlignment="1">
      <alignment horizontal="center" vertical="center"/>
    </xf>
    <xf numFmtId="0" fontId="23" fillId="35" borderId="0" xfId="0" applyFont="1" applyFill="1"/>
    <xf numFmtId="0" fontId="0" fillId="35" borderId="0" xfId="0" applyFill="1"/>
    <xf numFmtId="3" fontId="24" fillId="0" borderId="44" xfId="0" applyNumberFormat="1" applyFont="1" applyBorder="1" applyAlignment="1">
      <alignment horizontal="center" vertical="center"/>
    </xf>
    <xf numFmtId="0" fontId="19" fillId="0" borderId="12" xfId="0" applyFont="1" applyBorder="1"/>
    <xf numFmtId="3" fontId="24" fillId="0" borderId="45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wrapText="1"/>
    </xf>
    <xf numFmtId="0" fontId="19" fillId="0" borderId="28" xfId="0" applyFont="1" applyBorder="1" applyAlignment="1">
      <alignment horizontal="center" wrapText="1"/>
    </xf>
    <xf numFmtId="0" fontId="19" fillId="0" borderId="39" xfId="0" applyFont="1" applyBorder="1" applyAlignment="1">
      <alignment horizontal="center" wrapText="1"/>
    </xf>
    <xf numFmtId="0" fontId="19" fillId="0" borderId="40" xfId="0" applyFont="1" applyBorder="1" applyAlignment="1">
      <alignment horizontal="center" wrapText="1"/>
    </xf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3"/>
  <sheetViews>
    <sheetView tabSelected="1" zoomScale="30" zoomScaleNormal="30" workbookViewId="0">
      <selection activeCell="J19" sqref="J19"/>
    </sheetView>
  </sheetViews>
  <sheetFormatPr defaultRowHeight="15" x14ac:dyDescent="0.25"/>
  <cols>
    <col min="1" max="1" width="37.42578125" customWidth="1"/>
    <col min="2" max="9" width="18.7109375" customWidth="1"/>
    <col min="10" max="10" width="20.5703125" customWidth="1"/>
    <col min="11" max="11" width="18.7109375" customWidth="1"/>
    <col min="12" max="12" width="21.5703125" customWidth="1"/>
    <col min="13" max="13" width="18.7109375" customWidth="1"/>
    <col min="14" max="14" width="22" customWidth="1"/>
    <col min="15" max="29" width="18.7109375" customWidth="1"/>
    <col min="30" max="30" width="37.28515625" customWidth="1"/>
    <col min="32" max="32" width="11.28515625" customWidth="1"/>
  </cols>
  <sheetData>
    <row r="1" spans="1:32" ht="31.5" x14ac:dyDescent="0.5">
      <c r="A1" s="73" t="s">
        <v>0</v>
      </c>
      <c r="B1" s="73"/>
      <c r="C1" s="73"/>
      <c r="D1" s="73"/>
      <c r="E1" s="73"/>
      <c r="F1" s="18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2"/>
    </row>
    <row r="2" spans="1:32" ht="31.5" x14ac:dyDescent="0.5">
      <c r="A2" s="73" t="s">
        <v>63</v>
      </c>
      <c r="B2" s="73"/>
      <c r="C2" s="73"/>
      <c r="D2" s="73"/>
      <c r="E2" s="73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2"/>
    </row>
    <row r="3" spans="1:32" ht="32.25" thickBo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2"/>
    </row>
    <row r="4" spans="1:32" ht="65.099999999999994" customHeight="1" thickBot="1" x14ac:dyDescent="0.55000000000000004">
      <c r="A4" s="5"/>
      <c r="B4" s="68" t="s">
        <v>1</v>
      </c>
      <c r="C4" s="69"/>
      <c r="D4" s="69"/>
      <c r="E4" s="69"/>
      <c r="F4" s="69"/>
      <c r="G4" s="70"/>
      <c r="H4" s="68" t="s">
        <v>2</v>
      </c>
      <c r="I4" s="69"/>
      <c r="J4" s="69"/>
      <c r="K4" s="69"/>
      <c r="L4" s="69"/>
      <c r="M4" s="70"/>
      <c r="N4" s="68" t="s">
        <v>3</v>
      </c>
      <c r="O4" s="69"/>
      <c r="P4" s="69"/>
      <c r="Q4" s="69"/>
      <c r="R4" s="69"/>
      <c r="S4" s="70"/>
      <c r="T4" s="68" t="s">
        <v>4</v>
      </c>
      <c r="U4" s="69"/>
      <c r="V4" s="69"/>
      <c r="W4" s="69"/>
      <c r="X4" s="69"/>
      <c r="Y4" s="69"/>
      <c r="Z4" s="69"/>
      <c r="AA4" s="69"/>
      <c r="AB4" s="69"/>
      <c r="AC4" s="70"/>
      <c r="AD4" s="5"/>
      <c r="AE4" s="2"/>
    </row>
    <row r="5" spans="1:32" ht="65.099999999999994" customHeight="1" thickBot="1" x14ac:dyDescent="0.55000000000000004">
      <c r="A5" s="5"/>
      <c r="B5" s="71" t="s">
        <v>5</v>
      </c>
      <c r="C5" s="72"/>
      <c r="D5" s="71" t="s">
        <v>6</v>
      </c>
      <c r="E5" s="72"/>
      <c r="F5" s="71" t="s">
        <v>7</v>
      </c>
      <c r="G5" s="72"/>
      <c r="H5" s="71" t="s">
        <v>8</v>
      </c>
      <c r="I5" s="72"/>
      <c r="J5" s="71" t="s">
        <v>9</v>
      </c>
      <c r="K5" s="72"/>
      <c r="L5" s="71" t="s">
        <v>10</v>
      </c>
      <c r="M5" s="72"/>
      <c r="N5" s="71" t="s">
        <v>11</v>
      </c>
      <c r="O5" s="72"/>
      <c r="P5" s="71" t="s">
        <v>12</v>
      </c>
      <c r="Q5" s="72"/>
      <c r="R5" s="71" t="s">
        <v>13</v>
      </c>
      <c r="S5" s="72"/>
      <c r="T5" s="71" t="s">
        <v>14</v>
      </c>
      <c r="U5" s="72"/>
      <c r="V5" s="71" t="s">
        <v>15</v>
      </c>
      <c r="W5" s="72"/>
      <c r="X5" s="71" t="s">
        <v>16</v>
      </c>
      <c r="Y5" s="72"/>
      <c r="Z5" s="71" t="s">
        <v>17</v>
      </c>
      <c r="AA5" s="72"/>
      <c r="AB5" s="71" t="s">
        <v>18</v>
      </c>
      <c r="AC5" s="72"/>
      <c r="AD5" s="5"/>
      <c r="AE5" s="2"/>
    </row>
    <row r="6" spans="1:32" ht="65.099999999999994" customHeight="1" x14ac:dyDescent="0.5">
      <c r="A6" s="3" t="s">
        <v>19</v>
      </c>
      <c r="B6" s="9" t="s">
        <v>20</v>
      </c>
      <c r="C6" s="10" t="s">
        <v>21</v>
      </c>
      <c r="D6" s="11" t="s">
        <v>20</v>
      </c>
      <c r="E6" s="12" t="s">
        <v>21</v>
      </c>
      <c r="F6" s="13" t="s">
        <v>20</v>
      </c>
      <c r="G6" s="14" t="s">
        <v>21</v>
      </c>
      <c r="H6" s="13" t="s">
        <v>20</v>
      </c>
      <c r="I6" s="12" t="s">
        <v>21</v>
      </c>
      <c r="J6" s="13" t="s">
        <v>20</v>
      </c>
      <c r="K6" s="12" t="s">
        <v>21</v>
      </c>
      <c r="L6" s="13" t="s">
        <v>20</v>
      </c>
      <c r="M6" s="12" t="s">
        <v>21</v>
      </c>
      <c r="N6" s="13" t="s">
        <v>20</v>
      </c>
      <c r="O6" s="14" t="s">
        <v>21</v>
      </c>
      <c r="P6" s="13" t="s">
        <v>20</v>
      </c>
      <c r="Q6" s="12" t="s">
        <v>21</v>
      </c>
      <c r="R6" s="13" t="s">
        <v>20</v>
      </c>
      <c r="S6" s="12" t="s">
        <v>21</v>
      </c>
      <c r="T6" s="13" t="s">
        <v>20</v>
      </c>
      <c r="U6" s="12" t="s">
        <v>21</v>
      </c>
      <c r="V6" s="13" t="s">
        <v>20</v>
      </c>
      <c r="W6" s="12" t="s">
        <v>21</v>
      </c>
      <c r="X6" s="13" t="s">
        <v>20</v>
      </c>
      <c r="Y6" s="12" t="s">
        <v>21</v>
      </c>
      <c r="Z6" s="13" t="s">
        <v>20</v>
      </c>
      <c r="AA6" s="14" t="s">
        <v>21</v>
      </c>
      <c r="AB6" s="9" t="s">
        <v>20</v>
      </c>
      <c r="AC6" s="10" t="s">
        <v>21</v>
      </c>
      <c r="AD6" s="4" t="s">
        <v>19</v>
      </c>
      <c r="AE6" s="15"/>
      <c r="AF6" s="15"/>
    </row>
    <row r="7" spans="1:32" ht="65.099999999999994" customHeight="1" x14ac:dyDescent="0.5">
      <c r="A7" s="3" t="s">
        <v>22</v>
      </c>
      <c r="B7" s="50">
        <v>2</v>
      </c>
      <c r="C7" s="51">
        <v>43</v>
      </c>
      <c r="D7" s="54">
        <v>3</v>
      </c>
      <c r="E7" s="51">
        <f>27+25+27</f>
        <v>79</v>
      </c>
      <c r="F7" s="50">
        <v>3</v>
      </c>
      <c r="G7" s="55">
        <f>24+21+23</f>
        <v>68</v>
      </c>
      <c r="H7" s="50">
        <v>3</v>
      </c>
      <c r="I7" s="51">
        <f>27+26+26</f>
        <v>79</v>
      </c>
      <c r="J7" s="50">
        <v>3</v>
      </c>
      <c r="K7" s="51">
        <f>25+25+25</f>
        <v>75</v>
      </c>
      <c r="L7" s="50">
        <v>2</v>
      </c>
      <c r="M7" s="51">
        <f>21+21</f>
        <v>42</v>
      </c>
      <c r="N7" s="50">
        <v>1</v>
      </c>
      <c r="O7" s="55">
        <v>19</v>
      </c>
      <c r="P7" s="50">
        <v>2</v>
      </c>
      <c r="Q7" s="51">
        <f>25+25</f>
        <v>50</v>
      </c>
      <c r="R7" s="50">
        <v>2</v>
      </c>
      <c r="S7" s="51">
        <f>19+20</f>
        <v>39</v>
      </c>
      <c r="T7" s="50">
        <v>2</v>
      </c>
      <c r="U7" s="51">
        <f>22+21</f>
        <v>43</v>
      </c>
      <c r="V7" s="50">
        <v>3</v>
      </c>
      <c r="W7" s="51">
        <f>19+18+19</f>
        <v>56</v>
      </c>
      <c r="X7" s="50">
        <v>2</v>
      </c>
      <c r="Y7" s="51">
        <v>32</v>
      </c>
      <c r="Z7" s="50">
        <v>1</v>
      </c>
      <c r="AA7" s="55">
        <v>11</v>
      </c>
      <c r="AB7" s="50">
        <v>1</v>
      </c>
      <c r="AC7" s="51">
        <v>15</v>
      </c>
      <c r="AD7" s="16" t="s">
        <v>22</v>
      </c>
      <c r="AE7" s="15"/>
      <c r="AF7" s="15"/>
    </row>
    <row r="8" spans="1:32" ht="65.099999999999994" customHeight="1" x14ac:dyDescent="0.5">
      <c r="A8" s="3" t="s">
        <v>23</v>
      </c>
      <c r="B8" s="50">
        <v>2</v>
      </c>
      <c r="C8" s="51">
        <v>45</v>
      </c>
      <c r="D8" s="54">
        <v>4</v>
      </c>
      <c r="E8" s="51">
        <f>20+21+22+21+6</f>
        <v>90</v>
      </c>
      <c r="F8" s="56">
        <v>3</v>
      </c>
      <c r="G8" s="51">
        <f>26+25+28</f>
        <v>79</v>
      </c>
      <c r="H8" s="50">
        <v>3</v>
      </c>
      <c r="I8" s="51">
        <f>23+21+22</f>
        <v>66</v>
      </c>
      <c r="J8" s="50">
        <v>4</v>
      </c>
      <c r="K8" s="51">
        <f>23+19+20+21</f>
        <v>83</v>
      </c>
      <c r="L8" s="50">
        <v>2</v>
      </c>
      <c r="M8" s="51">
        <f>17+16</f>
        <v>33</v>
      </c>
      <c r="N8" s="50">
        <v>1</v>
      </c>
      <c r="O8" s="55">
        <v>19</v>
      </c>
      <c r="P8" s="50">
        <v>2</v>
      </c>
      <c r="Q8" s="51">
        <f>25+28</f>
        <v>53</v>
      </c>
      <c r="R8" s="50">
        <v>2</v>
      </c>
      <c r="S8" s="51">
        <v>45</v>
      </c>
      <c r="T8" s="50">
        <v>2</v>
      </c>
      <c r="U8" s="51">
        <f>22+23</f>
        <v>45</v>
      </c>
      <c r="V8" s="50">
        <v>2</v>
      </c>
      <c r="W8" s="51">
        <f>23+22</f>
        <v>45</v>
      </c>
      <c r="X8" s="50">
        <v>2</v>
      </c>
      <c r="Y8" s="51">
        <f>17+18</f>
        <v>35</v>
      </c>
      <c r="Z8" s="50">
        <v>1</v>
      </c>
      <c r="AA8" s="55">
        <v>18</v>
      </c>
      <c r="AB8" s="67">
        <v>1</v>
      </c>
      <c r="AC8" s="61">
        <v>11</v>
      </c>
      <c r="AD8" s="16" t="s">
        <v>23</v>
      </c>
      <c r="AE8" s="15"/>
      <c r="AF8" s="15"/>
    </row>
    <row r="9" spans="1:32" ht="65.099999999999994" customHeight="1" x14ac:dyDescent="0.5">
      <c r="A9" s="3" t="s">
        <v>24</v>
      </c>
      <c r="B9" s="50">
        <v>2</v>
      </c>
      <c r="C9" s="51">
        <v>41</v>
      </c>
      <c r="D9" s="54">
        <v>4</v>
      </c>
      <c r="E9" s="51">
        <f>23+27+24+22</f>
        <v>96</v>
      </c>
      <c r="F9" s="56">
        <v>4</v>
      </c>
      <c r="G9" s="51">
        <f>20+20+19+21</f>
        <v>80</v>
      </c>
      <c r="H9" s="56">
        <v>3</v>
      </c>
      <c r="I9" s="51">
        <f>27+26+28</f>
        <v>81</v>
      </c>
      <c r="J9" s="56">
        <v>4</v>
      </c>
      <c r="K9" s="51">
        <f>18+19+19+21</f>
        <v>77</v>
      </c>
      <c r="L9" s="50">
        <v>1</v>
      </c>
      <c r="M9" s="51">
        <v>26</v>
      </c>
      <c r="N9" s="50">
        <v>1</v>
      </c>
      <c r="O9" s="55">
        <v>13</v>
      </c>
      <c r="P9" s="50">
        <v>2</v>
      </c>
      <c r="Q9" s="51">
        <f>24+22</f>
        <v>46</v>
      </c>
      <c r="R9" s="50">
        <v>2</v>
      </c>
      <c r="S9" s="51">
        <f>18+19</f>
        <v>37</v>
      </c>
      <c r="T9" s="50">
        <v>2</v>
      </c>
      <c r="U9" s="51">
        <f>19+20</f>
        <v>39</v>
      </c>
      <c r="V9" s="50">
        <v>2</v>
      </c>
      <c r="W9" s="51">
        <f>26+26</f>
        <v>52</v>
      </c>
      <c r="X9" s="50">
        <v>1</v>
      </c>
      <c r="Y9" s="51">
        <v>15</v>
      </c>
      <c r="Z9" s="50">
        <v>1</v>
      </c>
      <c r="AA9" s="55">
        <v>19</v>
      </c>
      <c r="AB9" s="50">
        <v>1</v>
      </c>
      <c r="AC9" s="51">
        <v>2</v>
      </c>
      <c r="AD9" s="16" t="s">
        <v>24</v>
      </c>
      <c r="AE9" s="15"/>
      <c r="AF9" s="15"/>
    </row>
    <row r="10" spans="1:32" ht="65.099999999999994" customHeight="1" x14ac:dyDescent="0.5">
      <c r="A10" s="3" t="s">
        <v>25</v>
      </c>
      <c r="B10" s="50">
        <v>2</v>
      </c>
      <c r="C10" s="51">
        <v>49</v>
      </c>
      <c r="D10" s="54">
        <v>3</v>
      </c>
      <c r="E10" s="51">
        <f>26+28+27</f>
        <v>81</v>
      </c>
      <c r="F10" s="56">
        <v>3</v>
      </c>
      <c r="G10" s="51">
        <f>24+20+20</f>
        <v>64</v>
      </c>
      <c r="H10" s="56">
        <v>3</v>
      </c>
      <c r="I10" s="51">
        <f>19+21+19</f>
        <v>59</v>
      </c>
      <c r="J10" s="56">
        <v>4</v>
      </c>
      <c r="K10" s="51">
        <f>22+22+24+22</f>
        <v>90</v>
      </c>
      <c r="L10" s="56">
        <v>1</v>
      </c>
      <c r="M10" s="51">
        <v>27</v>
      </c>
      <c r="N10" s="50">
        <v>1</v>
      </c>
      <c r="O10" s="55">
        <v>19</v>
      </c>
      <c r="P10" s="50">
        <v>2</v>
      </c>
      <c r="Q10" s="51">
        <f>26+25</f>
        <v>51</v>
      </c>
      <c r="R10" s="50">
        <v>2</v>
      </c>
      <c r="S10" s="51">
        <f>21+20</f>
        <v>41</v>
      </c>
      <c r="T10" s="50">
        <v>2</v>
      </c>
      <c r="U10" s="51">
        <f>18+20</f>
        <v>38</v>
      </c>
      <c r="V10" s="56">
        <v>2</v>
      </c>
      <c r="W10" s="51">
        <f>22+20</f>
        <v>42</v>
      </c>
      <c r="X10" s="56">
        <v>1</v>
      </c>
      <c r="Y10" s="51">
        <v>20</v>
      </c>
      <c r="Z10" s="50">
        <v>1</v>
      </c>
      <c r="AA10" s="55">
        <v>10</v>
      </c>
      <c r="AB10" s="50">
        <v>1</v>
      </c>
      <c r="AC10" s="51">
        <v>10</v>
      </c>
      <c r="AD10" s="16" t="s">
        <v>25</v>
      </c>
      <c r="AE10" s="15"/>
      <c r="AF10" s="15"/>
    </row>
    <row r="11" spans="1:32" ht="65.099999999999994" customHeight="1" x14ac:dyDescent="0.5">
      <c r="A11" s="3" t="s">
        <v>26</v>
      </c>
      <c r="B11" s="56">
        <v>2</v>
      </c>
      <c r="C11" s="51">
        <v>55</v>
      </c>
      <c r="D11" s="54">
        <v>3</v>
      </c>
      <c r="E11" s="51">
        <f>28+24+29</f>
        <v>81</v>
      </c>
      <c r="F11" s="56">
        <v>3</v>
      </c>
      <c r="G11" s="51">
        <f>24+26+26</f>
        <v>76</v>
      </c>
      <c r="H11" s="56">
        <v>3</v>
      </c>
      <c r="I11" s="51">
        <f>23+26+27</f>
        <v>76</v>
      </c>
      <c r="J11" s="56">
        <v>3</v>
      </c>
      <c r="K11" s="51">
        <f>24+23+22</f>
        <v>69</v>
      </c>
      <c r="L11" s="56">
        <v>1</v>
      </c>
      <c r="M11" s="51">
        <v>19</v>
      </c>
      <c r="N11" s="56">
        <v>1</v>
      </c>
      <c r="O11" s="51">
        <v>16</v>
      </c>
      <c r="P11" s="56">
        <v>2</v>
      </c>
      <c r="Q11" s="51">
        <f>25+26</f>
        <v>51</v>
      </c>
      <c r="R11" s="56">
        <v>2</v>
      </c>
      <c r="S11" s="51">
        <f>20+19</f>
        <v>39</v>
      </c>
      <c r="T11" s="56">
        <v>2</v>
      </c>
      <c r="U11" s="51">
        <f>19+19</f>
        <v>38</v>
      </c>
      <c r="V11" s="56">
        <v>2</v>
      </c>
      <c r="W11" s="51">
        <f>24+21</f>
        <v>45</v>
      </c>
      <c r="X11" s="56">
        <v>1</v>
      </c>
      <c r="Y11" s="51">
        <v>28</v>
      </c>
      <c r="Z11" s="56">
        <v>1</v>
      </c>
      <c r="AA11" s="55">
        <v>14</v>
      </c>
      <c r="AB11" s="50">
        <v>1</v>
      </c>
      <c r="AC11" s="51">
        <v>11</v>
      </c>
      <c r="AD11" s="16" t="s">
        <v>26</v>
      </c>
      <c r="AE11" s="15"/>
      <c r="AF11" s="15"/>
    </row>
    <row r="12" spans="1:32" ht="66" customHeight="1" x14ac:dyDescent="0.5">
      <c r="A12" s="3" t="s">
        <v>27</v>
      </c>
      <c r="B12" s="56">
        <v>3</v>
      </c>
      <c r="C12" s="51">
        <f>21+20+19</f>
        <v>60</v>
      </c>
      <c r="D12" s="54">
        <v>3</v>
      </c>
      <c r="E12" s="51">
        <f>20+16+21</f>
        <v>57</v>
      </c>
      <c r="F12" s="56">
        <v>3</v>
      </c>
      <c r="G12" s="51">
        <f>25+28+28</f>
        <v>81</v>
      </c>
      <c r="H12" s="56">
        <v>3</v>
      </c>
      <c r="I12" s="51">
        <f>24+26+27</f>
        <v>77</v>
      </c>
      <c r="J12" s="56">
        <v>4</v>
      </c>
      <c r="K12" s="51">
        <f>22+18+20+20</f>
        <v>80</v>
      </c>
      <c r="L12" s="56">
        <v>1</v>
      </c>
      <c r="M12" s="51">
        <v>24</v>
      </c>
      <c r="N12" s="56">
        <v>1</v>
      </c>
      <c r="O12" s="51">
        <v>19</v>
      </c>
      <c r="P12" s="56">
        <v>2</v>
      </c>
      <c r="Q12" s="51">
        <f>26+25</f>
        <v>51</v>
      </c>
      <c r="R12" s="56">
        <v>2</v>
      </c>
      <c r="S12" s="51">
        <f>19+17</f>
        <v>36</v>
      </c>
      <c r="T12" s="56">
        <v>2</v>
      </c>
      <c r="U12" s="51">
        <f>16+19</f>
        <v>35</v>
      </c>
      <c r="V12" s="56">
        <v>2</v>
      </c>
      <c r="W12" s="51">
        <f>20+18</f>
        <v>38</v>
      </c>
      <c r="X12" s="56">
        <v>1</v>
      </c>
      <c r="Y12" s="51">
        <v>30</v>
      </c>
      <c r="Z12" s="56">
        <v>1</v>
      </c>
      <c r="AA12" s="55">
        <v>14</v>
      </c>
      <c r="AB12" s="56">
        <v>1</v>
      </c>
      <c r="AC12" s="51">
        <v>11</v>
      </c>
      <c r="AD12" s="16" t="s">
        <v>27</v>
      </c>
      <c r="AE12" s="15"/>
      <c r="AF12" s="15"/>
    </row>
    <row r="13" spans="1:32" ht="65.099999999999994" customHeight="1" x14ac:dyDescent="0.5">
      <c r="A13" s="3" t="s">
        <v>28</v>
      </c>
      <c r="B13" s="56">
        <v>2</v>
      </c>
      <c r="C13" s="51">
        <v>42</v>
      </c>
      <c r="D13" s="57">
        <v>3</v>
      </c>
      <c r="E13" s="54">
        <f>24+21+21</f>
        <v>66</v>
      </c>
      <c r="F13" s="56">
        <v>3</v>
      </c>
      <c r="G13" s="51">
        <f>28+27+23</f>
        <v>78</v>
      </c>
      <c r="H13" s="56">
        <v>3</v>
      </c>
      <c r="I13" s="51">
        <f>22+22+21</f>
        <v>65</v>
      </c>
      <c r="J13" s="56">
        <v>3</v>
      </c>
      <c r="K13" s="51">
        <f>27+26+25</f>
        <v>78</v>
      </c>
      <c r="L13" s="56">
        <v>1</v>
      </c>
      <c r="M13" s="51">
        <v>24</v>
      </c>
      <c r="N13" s="56">
        <v>1</v>
      </c>
      <c r="O13" s="51">
        <v>15</v>
      </c>
      <c r="P13" s="56">
        <v>2</v>
      </c>
      <c r="Q13" s="51">
        <f>25+25</f>
        <v>50</v>
      </c>
      <c r="R13" s="56">
        <v>3</v>
      </c>
      <c r="S13" s="51">
        <f>18+17+16</f>
        <v>51</v>
      </c>
      <c r="T13" s="56">
        <v>2</v>
      </c>
      <c r="U13" s="51">
        <f>17+18</f>
        <v>35</v>
      </c>
      <c r="V13" s="56">
        <v>2</v>
      </c>
      <c r="W13" s="51">
        <f>24+23</f>
        <v>47</v>
      </c>
      <c r="X13" s="56">
        <v>2</v>
      </c>
      <c r="Y13" s="51">
        <f>16+16</f>
        <v>32</v>
      </c>
      <c r="Z13" s="56">
        <v>1</v>
      </c>
      <c r="AA13" s="55">
        <v>16</v>
      </c>
      <c r="AB13" s="56">
        <v>1</v>
      </c>
      <c r="AC13" s="51">
        <v>11</v>
      </c>
      <c r="AD13" s="16" t="s">
        <v>28</v>
      </c>
      <c r="AE13" s="15"/>
      <c r="AF13" s="15"/>
    </row>
    <row r="14" spans="1:32" ht="65.099999999999994" customHeight="1" x14ac:dyDescent="0.5">
      <c r="A14" s="3" t="s">
        <v>29</v>
      </c>
      <c r="B14" s="56">
        <v>3</v>
      </c>
      <c r="C14" s="51">
        <f>22+20+22</f>
        <v>64</v>
      </c>
      <c r="D14" s="58">
        <v>3</v>
      </c>
      <c r="E14" s="51">
        <f>25+24+22</f>
        <v>71</v>
      </c>
      <c r="F14" s="56">
        <v>3</v>
      </c>
      <c r="G14" s="51">
        <f>21+24+21</f>
        <v>66</v>
      </c>
      <c r="H14" s="56">
        <v>4</v>
      </c>
      <c r="I14" s="51">
        <f>22+23+23+24</f>
        <v>92</v>
      </c>
      <c r="J14" s="56">
        <v>6</v>
      </c>
      <c r="K14" s="51">
        <f>24+21+24+24+28+28</f>
        <v>149</v>
      </c>
      <c r="L14" s="56"/>
      <c r="M14" s="51"/>
      <c r="N14" s="56">
        <v>3</v>
      </c>
      <c r="O14" s="51">
        <f>22+20+22</f>
        <v>64</v>
      </c>
      <c r="P14" s="56">
        <v>2</v>
      </c>
      <c r="Q14" s="51">
        <f>24+19</f>
        <v>43</v>
      </c>
      <c r="R14" s="56">
        <v>3</v>
      </c>
      <c r="S14" s="51">
        <f>20+18+16</f>
        <v>54</v>
      </c>
      <c r="T14" s="56">
        <v>2</v>
      </c>
      <c r="U14" s="51">
        <f>24+22</f>
        <v>46</v>
      </c>
      <c r="V14" s="56">
        <v>3</v>
      </c>
      <c r="W14" s="51">
        <f>21+22+24</f>
        <v>67</v>
      </c>
      <c r="X14" s="56">
        <v>2</v>
      </c>
      <c r="Y14" s="51">
        <f>20+22</f>
        <v>42</v>
      </c>
      <c r="Z14" s="56"/>
      <c r="AA14" s="55"/>
      <c r="AB14" s="56"/>
      <c r="AC14" s="51"/>
      <c r="AD14" s="16" t="s">
        <v>29</v>
      </c>
      <c r="AE14" s="15"/>
      <c r="AF14" s="15"/>
    </row>
    <row r="15" spans="1:32" ht="65.099999999999994" customHeight="1" x14ac:dyDescent="0.5">
      <c r="A15" s="3" t="s">
        <v>30</v>
      </c>
      <c r="B15" s="56">
        <v>2</v>
      </c>
      <c r="C15" s="51">
        <v>50</v>
      </c>
      <c r="D15" s="54">
        <v>2</v>
      </c>
      <c r="E15" s="51">
        <f>21+24</f>
        <v>45</v>
      </c>
      <c r="F15" s="56">
        <v>3</v>
      </c>
      <c r="G15" s="51">
        <f>25+28+23</f>
        <v>76</v>
      </c>
      <c r="H15" s="56">
        <v>4</v>
      </c>
      <c r="I15" s="51">
        <f>18+19+22+20</f>
        <v>79</v>
      </c>
      <c r="J15" s="56">
        <v>7</v>
      </c>
      <c r="K15" s="51">
        <f>17+17+15+25+25+27+26+1</f>
        <v>153</v>
      </c>
      <c r="L15" s="56"/>
      <c r="M15" s="51"/>
      <c r="N15" s="56">
        <v>4</v>
      </c>
      <c r="O15" s="51">
        <f>10+22+16+17</f>
        <v>65</v>
      </c>
      <c r="P15" s="56">
        <v>2</v>
      </c>
      <c r="Q15" s="51">
        <f>25+22</f>
        <v>47</v>
      </c>
      <c r="R15" s="56">
        <v>3</v>
      </c>
      <c r="S15" s="51">
        <f>25+18+16</f>
        <v>59</v>
      </c>
      <c r="T15" s="56">
        <v>2</v>
      </c>
      <c r="U15" s="51">
        <f>23+20</f>
        <v>43</v>
      </c>
      <c r="V15" s="56">
        <v>3</v>
      </c>
      <c r="W15" s="51">
        <f>23+19+20</f>
        <v>62</v>
      </c>
      <c r="X15" s="56">
        <v>2</v>
      </c>
      <c r="Y15" s="51">
        <f>19+22</f>
        <v>41</v>
      </c>
      <c r="Z15" s="56"/>
      <c r="AA15" s="55"/>
      <c r="AB15" s="56"/>
      <c r="AC15" s="51"/>
      <c r="AD15" s="16" t="s">
        <v>30</v>
      </c>
      <c r="AE15" s="15"/>
      <c r="AF15" s="15"/>
    </row>
    <row r="16" spans="1:32" ht="65.099999999999994" customHeight="1" x14ac:dyDescent="0.5">
      <c r="A16" s="3" t="s">
        <v>31</v>
      </c>
      <c r="B16" s="56">
        <v>2</v>
      </c>
      <c r="C16" s="51">
        <f>15+16+1</f>
        <v>32</v>
      </c>
      <c r="D16" s="54">
        <v>4</v>
      </c>
      <c r="E16" s="51">
        <f>22+24+23+19</f>
        <v>88</v>
      </c>
      <c r="F16" s="56">
        <v>2</v>
      </c>
      <c r="G16" s="51">
        <f>20+23</f>
        <v>43</v>
      </c>
      <c r="H16" s="56">
        <v>3</v>
      </c>
      <c r="I16" s="51">
        <f>25+26+24</f>
        <v>75</v>
      </c>
      <c r="J16" s="56">
        <v>7</v>
      </c>
      <c r="K16" s="51">
        <f>22+20+18+22+22+28+26</f>
        <v>158</v>
      </c>
      <c r="L16" s="56"/>
      <c r="M16" s="51"/>
      <c r="N16" s="56">
        <v>2</v>
      </c>
      <c r="O16" s="51">
        <f>19+14</f>
        <v>33</v>
      </c>
      <c r="P16" s="56">
        <v>2</v>
      </c>
      <c r="Q16" s="51">
        <f>19+17</f>
        <v>36</v>
      </c>
      <c r="R16" s="56">
        <v>3</v>
      </c>
      <c r="S16" s="51">
        <f>18+17+13</f>
        <v>48</v>
      </c>
      <c r="T16" s="56">
        <v>3</v>
      </c>
      <c r="U16" s="51">
        <f>17+20+17</f>
        <v>54</v>
      </c>
      <c r="V16" s="56">
        <v>3</v>
      </c>
      <c r="W16" s="51">
        <f>22+20+23</f>
        <v>65</v>
      </c>
      <c r="X16" s="56">
        <v>2</v>
      </c>
      <c r="Y16" s="51">
        <f>19+14</f>
        <v>33</v>
      </c>
      <c r="Z16" s="56"/>
      <c r="AA16" s="55"/>
      <c r="AB16" s="56"/>
      <c r="AC16" s="51"/>
      <c r="AD16" s="16" t="s">
        <v>31</v>
      </c>
      <c r="AE16" s="15"/>
      <c r="AF16" s="15"/>
    </row>
    <row r="17" spans="1:35" ht="65.099999999999994" customHeight="1" thickBot="1" x14ac:dyDescent="0.55000000000000004">
      <c r="A17" s="3" t="s">
        <v>32</v>
      </c>
      <c r="B17" s="59"/>
      <c r="C17" s="53"/>
      <c r="D17" s="60"/>
      <c r="E17" s="61"/>
      <c r="F17" s="62"/>
      <c r="G17" s="61"/>
      <c r="H17" s="62"/>
      <c r="I17" s="61"/>
      <c r="J17" s="62"/>
      <c r="K17" s="61"/>
      <c r="L17" s="62"/>
      <c r="M17" s="61"/>
      <c r="N17" s="62"/>
      <c r="O17" s="61"/>
      <c r="P17" s="62"/>
      <c r="Q17" s="61"/>
      <c r="R17" s="62"/>
      <c r="S17" s="61"/>
      <c r="T17" s="62"/>
      <c r="U17" s="61"/>
      <c r="V17" s="62"/>
      <c r="W17" s="61"/>
      <c r="X17" s="62"/>
      <c r="Y17" s="61"/>
      <c r="Z17" s="62"/>
      <c r="AA17" s="65"/>
      <c r="AB17" s="62"/>
      <c r="AC17" s="61"/>
      <c r="AD17" s="16" t="s">
        <v>32</v>
      </c>
      <c r="AE17" s="15"/>
      <c r="AF17" s="15"/>
    </row>
    <row r="18" spans="1:35" ht="65.099999999999994" customHeight="1" thickBot="1" x14ac:dyDescent="0.55000000000000004">
      <c r="A18" s="6" t="s">
        <v>33</v>
      </c>
      <c r="B18" s="33">
        <f t="shared" ref="B18:AC18" si="0">SUM(B7:B17)</f>
        <v>22</v>
      </c>
      <c r="C18" s="33">
        <f t="shared" si="0"/>
        <v>481</v>
      </c>
      <c r="D18" s="33">
        <f t="shared" si="0"/>
        <v>32</v>
      </c>
      <c r="E18" s="33">
        <f t="shared" si="0"/>
        <v>754</v>
      </c>
      <c r="F18" s="33">
        <f t="shared" si="0"/>
        <v>30</v>
      </c>
      <c r="G18" s="33">
        <f t="shared" si="0"/>
        <v>711</v>
      </c>
      <c r="H18" s="33">
        <f t="shared" si="0"/>
        <v>32</v>
      </c>
      <c r="I18" s="33">
        <f t="shared" si="0"/>
        <v>749</v>
      </c>
      <c r="J18" s="33">
        <f t="shared" si="0"/>
        <v>45</v>
      </c>
      <c r="K18" s="33">
        <f t="shared" si="0"/>
        <v>1012</v>
      </c>
      <c r="L18" s="33">
        <f t="shared" si="0"/>
        <v>9</v>
      </c>
      <c r="M18" s="33">
        <f t="shared" si="0"/>
        <v>195</v>
      </c>
      <c r="N18" s="33">
        <f t="shared" si="0"/>
        <v>16</v>
      </c>
      <c r="O18" s="33">
        <f t="shared" si="0"/>
        <v>282</v>
      </c>
      <c r="P18" s="33">
        <f t="shared" si="0"/>
        <v>20</v>
      </c>
      <c r="Q18" s="33">
        <f t="shared" si="0"/>
        <v>478</v>
      </c>
      <c r="R18" s="33">
        <f t="shared" si="0"/>
        <v>24</v>
      </c>
      <c r="S18" s="33">
        <f t="shared" si="0"/>
        <v>449</v>
      </c>
      <c r="T18" s="33">
        <f t="shared" si="0"/>
        <v>21</v>
      </c>
      <c r="U18" s="33">
        <f t="shared" si="0"/>
        <v>416</v>
      </c>
      <c r="V18" s="33">
        <f t="shared" si="0"/>
        <v>24</v>
      </c>
      <c r="W18" s="33">
        <f t="shared" si="0"/>
        <v>519</v>
      </c>
      <c r="X18" s="33">
        <f t="shared" si="0"/>
        <v>16</v>
      </c>
      <c r="Y18" s="33">
        <f t="shared" si="0"/>
        <v>308</v>
      </c>
      <c r="Z18" s="33">
        <f t="shared" si="0"/>
        <v>7</v>
      </c>
      <c r="AA18" s="33">
        <f t="shared" si="0"/>
        <v>102</v>
      </c>
      <c r="AB18" s="33">
        <f t="shared" si="0"/>
        <v>7</v>
      </c>
      <c r="AC18" s="41">
        <f t="shared" si="0"/>
        <v>71</v>
      </c>
      <c r="AD18" s="66" t="s">
        <v>33</v>
      </c>
      <c r="AE18" s="15"/>
      <c r="AF18" s="15"/>
    </row>
    <row r="19" spans="1:35" ht="65.099999999999994" customHeight="1" x14ac:dyDescent="0.5">
      <c r="A19" s="3"/>
      <c r="B19" s="46"/>
      <c r="C19" s="47"/>
      <c r="D19" s="46"/>
      <c r="E19" s="47"/>
      <c r="F19" s="46"/>
      <c r="G19" s="47"/>
      <c r="H19" s="46"/>
      <c r="I19" s="47"/>
      <c r="J19" s="46"/>
      <c r="K19" s="47"/>
      <c r="L19" s="46"/>
      <c r="M19" s="47"/>
      <c r="N19" s="46"/>
      <c r="O19" s="47"/>
      <c r="P19" s="46"/>
      <c r="Q19" s="47"/>
      <c r="R19" s="46"/>
      <c r="S19" s="47"/>
      <c r="T19" s="46"/>
      <c r="U19" s="47"/>
      <c r="V19" s="46"/>
      <c r="W19" s="47"/>
      <c r="X19" s="46"/>
      <c r="Y19" s="47"/>
      <c r="Z19" s="46"/>
      <c r="AA19" s="47"/>
      <c r="AB19" s="46"/>
      <c r="AC19" s="47"/>
      <c r="AD19" s="4"/>
      <c r="AE19" s="15"/>
      <c r="AF19" s="15"/>
    </row>
    <row r="20" spans="1:35" ht="65.099999999999994" customHeight="1" x14ac:dyDescent="0.5">
      <c r="A20" s="3" t="s">
        <v>34</v>
      </c>
      <c r="B20" s="56"/>
      <c r="C20" s="51"/>
      <c r="D20" s="56"/>
      <c r="E20" s="51"/>
      <c r="F20" s="56"/>
      <c r="G20" s="51"/>
      <c r="H20" s="56"/>
      <c r="I20" s="51"/>
      <c r="J20" s="56"/>
      <c r="K20" s="51"/>
      <c r="L20" s="56"/>
      <c r="M20" s="51"/>
      <c r="N20" s="56"/>
      <c r="O20" s="51"/>
      <c r="P20" s="56"/>
      <c r="Q20" s="51"/>
      <c r="R20" s="56"/>
      <c r="S20" s="51"/>
      <c r="T20" s="56"/>
      <c r="U20" s="51"/>
      <c r="V20" s="56"/>
      <c r="W20" s="51"/>
      <c r="X20" s="56"/>
      <c r="Y20" s="51"/>
      <c r="Z20" s="56"/>
      <c r="AA20" s="51"/>
      <c r="AB20" s="56"/>
      <c r="AC20" s="51"/>
      <c r="AD20" s="4" t="s">
        <v>34</v>
      </c>
      <c r="AE20" s="15"/>
      <c r="AF20" s="15"/>
    </row>
    <row r="21" spans="1:35" ht="65.099999999999994" customHeight="1" x14ac:dyDescent="0.5">
      <c r="A21" s="3"/>
      <c r="B21" s="56"/>
      <c r="C21" s="51"/>
      <c r="D21" s="56"/>
      <c r="E21" s="51"/>
      <c r="F21" s="56"/>
      <c r="G21" s="51"/>
      <c r="H21" s="56"/>
      <c r="I21" s="51"/>
      <c r="J21" s="56"/>
      <c r="K21" s="51"/>
      <c r="L21" s="56"/>
      <c r="M21" s="51"/>
      <c r="N21" s="56"/>
      <c r="O21" s="51"/>
      <c r="P21" s="56"/>
      <c r="Q21" s="51"/>
      <c r="R21" s="56"/>
      <c r="S21" s="51"/>
      <c r="T21" s="56"/>
      <c r="U21" s="51"/>
      <c r="V21" s="56"/>
      <c r="W21" s="51"/>
      <c r="X21" s="56"/>
      <c r="Y21" s="51"/>
      <c r="Z21" s="56"/>
      <c r="AA21" s="51"/>
      <c r="AB21" s="56"/>
      <c r="AC21" s="51"/>
      <c r="AD21" s="4"/>
      <c r="AE21" s="15"/>
      <c r="AF21" s="15"/>
    </row>
    <row r="22" spans="1:35" ht="65.099999999999994" customHeight="1" x14ac:dyDescent="0.5">
      <c r="A22" s="3" t="s">
        <v>35</v>
      </c>
      <c r="B22" s="56"/>
      <c r="C22" s="51"/>
      <c r="D22" s="56"/>
      <c r="E22" s="51"/>
      <c r="F22" s="56"/>
      <c r="G22" s="51"/>
      <c r="H22" s="56"/>
      <c r="I22" s="51"/>
      <c r="J22" s="56"/>
      <c r="K22" s="51"/>
      <c r="L22" s="56"/>
      <c r="M22" s="51"/>
      <c r="N22" s="56"/>
      <c r="O22" s="51">
        <v>61</v>
      </c>
      <c r="P22" s="56"/>
      <c r="Q22" s="51"/>
      <c r="R22" s="56"/>
      <c r="S22" s="51"/>
      <c r="T22" s="56"/>
      <c r="U22" s="51"/>
      <c r="V22" s="56"/>
      <c r="W22" s="51"/>
      <c r="X22" s="56"/>
      <c r="Y22" s="51"/>
      <c r="Z22" s="56"/>
      <c r="AA22" s="51"/>
      <c r="AB22" s="56"/>
      <c r="AC22" s="51"/>
      <c r="AD22" s="4" t="s">
        <v>35</v>
      </c>
      <c r="AE22" s="15"/>
      <c r="AF22" s="15"/>
    </row>
    <row r="23" spans="1:35" ht="65.099999999999994" customHeight="1" x14ac:dyDescent="0.5">
      <c r="A23" s="3"/>
      <c r="B23" s="56"/>
      <c r="C23" s="51"/>
      <c r="D23" s="56"/>
      <c r="E23" s="51"/>
      <c r="F23" s="56"/>
      <c r="G23" s="51"/>
      <c r="H23" s="56"/>
      <c r="I23" s="51"/>
      <c r="J23" s="56"/>
      <c r="K23" s="51"/>
      <c r="L23" s="56"/>
      <c r="M23" s="51"/>
      <c r="N23" s="56"/>
      <c r="O23" s="51"/>
      <c r="P23" s="56"/>
      <c r="Q23" s="51"/>
      <c r="R23" s="56"/>
      <c r="S23" s="51"/>
      <c r="T23" s="56"/>
      <c r="U23" s="51"/>
      <c r="V23" s="56"/>
      <c r="W23" s="51"/>
      <c r="X23" s="56"/>
      <c r="Y23" s="51"/>
      <c r="Z23" s="56"/>
      <c r="AA23" s="51"/>
      <c r="AB23" s="56"/>
      <c r="AC23" s="51"/>
      <c r="AD23" s="4"/>
      <c r="AE23" s="15"/>
      <c r="AF23" s="15"/>
    </row>
    <row r="24" spans="1:35" ht="65.099999999999994" customHeight="1" x14ac:dyDescent="0.5">
      <c r="A24" s="3" t="s">
        <v>36</v>
      </c>
      <c r="B24" s="56"/>
      <c r="C24" s="51"/>
      <c r="D24" s="56"/>
      <c r="E24" s="51"/>
      <c r="F24" s="56"/>
      <c r="G24" s="51"/>
      <c r="H24" s="56"/>
      <c r="I24" s="51"/>
      <c r="J24" s="56"/>
      <c r="K24" s="51">
        <v>32</v>
      </c>
      <c r="L24" s="56"/>
      <c r="M24" s="51">
        <v>83</v>
      </c>
      <c r="N24" s="56"/>
      <c r="O24" s="51"/>
      <c r="P24" s="56"/>
      <c r="Q24" s="51"/>
      <c r="R24" s="56"/>
      <c r="S24" s="51"/>
      <c r="T24" s="56"/>
      <c r="U24" s="51">
        <v>97</v>
      </c>
      <c r="V24" s="56"/>
      <c r="W24" s="51"/>
      <c r="X24" s="56"/>
      <c r="Y24" s="51"/>
      <c r="Z24" s="56"/>
      <c r="AA24" s="51"/>
      <c r="AB24" s="56"/>
      <c r="AC24" s="51"/>
      <c r="AD24" s="4" t="s">
        <v>36</v>
      </c>
      <c r="AE24" s="15"/>
      <c r="AF24" s="15"/>
    </row>
    <row r="25" spans="1:35" ht="65.099999999999994" customHeight="1" x14ac:dyDescent="0.5">
      <c r="A25" s="3"/>
      <c r="B25" s="56"/>
      <c r="C25" s="51"/>
      <c r="D25" s="56"/>
      <c r="E25" s="51"/>
      <c r="F25" s="56"/>
      <c r="G25" s="51"/>
      <c r="H25" s="56"/>
      <c r="I25" s="51"/>
      <c r="J25" s="56"/>
      <c r="K25" s="51"/>
      <c r="L25" s="56"/>
      <c r="M25" s="51"/>
      <c r="N25" s="56"/>
      <c r="O25" s="51"/>
      <c r="P25" s="56"/>
      <c r="Q25" s="51"/>
      <c r="R25" s="56"/>
      <c r="S25" s="51"/>
      <c r="T25" s="56"/>
      <c r="U25" s="51"/>
      <c r="V25" s="56"/>
      <c r="W25" s="51"/>
      <c r="X25" s="56"/>
      <c r="Y25" s="51"/>
      <c r="Z25" s="56"/>
      <c r="AA25" s="51"/>
      <c r="AB25" s="56"/>
      <c r="AC25" s="51"/>
      <c r="AD25" s="4"/>
      <c r="AE25" s="15"/>
      <c r="AF25" s="15"/>
    </row>
    <row r="26" spans="1:35" ht="129.75" customHeight="1" x14ac:dyDescent="0.25">
      <c r="A26" s="17" t="s">
        <v>62</v>
      </c>
      <c r="B26" s="56"/>
      <c r="C26" s="51"/>
      <c r="D26" s="56"/>
      <c r="E26" s="51"/>
      <c r="F26" s="56"/>
      <c r="G26" s="51"/>
      <c r="H26" s="56"/>
      <c r="I26" s="51"/>
      <c r="J26" s="56"/>
      <c r="K26" s="51"/>
      <c r="L26" s="56"/>
      <c r="M26" s="51"/>
      <c r="N26" s="56"/>
      <c r="O26" s="51"/>
      <c r="P26" s="56"/>
      <c r="Q26" s="51"/>
      <c r="R26" s="56"/>
      <c r="S26" s="51"/>
      <c r="T26" s="56"/>
      <c r="U26" s="51"/>
      <c r="V26" s="56"/>
      <c r="W26" s="51"/>
      <c r="X26" s="56"/>
      <c r="Y26" s="51"/>
      <c r="Z26" s="56"/>
      <c r="AA26" s="51"/>
      <c r="AB26" s="56"/>
      <c r="AC26" s="51"/>
      <c r="AD26" s="21" t="s">
        <v>61</v>
      </c>
      <c r="AE26" s="20"/>
      <c r="AF26" s="20"/>
      <c r="AG26" s="20"/>
      <c r="AH26" s="20"/>
      <c r="AI26" s="20"/>
    </row>
    <row r="27" spans="1:35" ht="65.099999999999994" customHeight="1" thickBot="1" x14ac:dyDescent="0.55000000000000004">
      <c r="A27" s="3"/>
      <c r="B27" s="62"/>
      <c r="C27" s="61"/>
      <c r="D27" s="62"/>
      <c r="E27" s="61"/>
      <c r="F27" s="62"/>
      <c r="G27" s="61"/>
      <c r="H27" s="62"/>
      <c r="I27" s="61"/>
      <c r="J27" s="62"/>
      <c r="K27" s="61"/>
      <c r="L27" s="62"/>
      <c r="M27" s="61"/>
      <c r="N27" s="62"/>
      <c r="O27" s="61"/>
      <c r="P27" s="62"/>
      <c r="Q27" s="61"/>
      <c r="R27" s="62"/>
      <c r="S27" s="61"/>
      <c r="T27" s="62"/>
      <c r="U27" s="61"/>
      <c r="V27" s="62"/>
      <c r="W27" s="61"/>
      <c r="X27" s="62"/>
      <c r="Y27" s="61"/>
      <c r="Z27" s="62"/>
      <c r="AA27" s="61"/>
      <c r="AB27" s="62"/>
      <c r="AC27" s="61"/>
      <c r="AD27" s="4"/>
      <c r="AE27" s="15"/>
      <c r="AF27" s="15"/>
    </row>
    <row r="28" spans="1:35" ht="65.099999999999994" customHeight="1" thickBot="1" x14ac:dyDescent="0.55000000000000004">
      <c r="A28" s="6" t="s">
        <v>37</v>
      </c>
      <c r="B28" s="33">
        <f>SUM(B19:B27)</f>
        <v>0</v>
      </c>
      <c r="C28" s="33">
        <f t="shared" ref="C28:AC28" si="1">SUM(C19:C27)</f>
        <v>0</v>
      </c>
      <c r="D28" s="33">
        <f t="shared" si="1"/>
        <v>0</v>
      </c>
      <c r="E28" s="33">
        <f t="shared" si="1"/>
        <v>0</v>
      </c>
      <c r="F28" s="33">
        <f t="shared" si="1"/>
        <v>0</v>
      </c>
      <c r="G28" s="33">
        <f t="shared" si="1"/>
        <v>0</v>
      </c>
      <c r="H28" s="33">
        <f t="shared" si="1"/>
        <v>0</v>
      </c>
      <c r="I28" s="33">
        <f t="shared" si="1"/>
        <v>0</v>
      </c>
      <c r="J28" s="33">
        <f t="shared" si="1"/>
        <v>0</v>
      </c>
      <c r="K28" s="33">
        <f t="shared" si="1"/>
        <v>32</v>
      </c>
      <c r="L28" s="33">
        <f t="shared" si="1"/>
        <v>0</v>
      </c>
      <c r="M28" s="33">
        <f t="shared" si="1"/>
        <v>83</v>
      </c>
      <c r="N28" s="33">
        <f t="shared" si="1"/>
        <v>0</v>
      </c>
      <c r="O28" s="33">
        <f t="shared" si="1"/>
        <v>61</v>
      </c>
      <c r="P28" s="33">
        <f t="shared" si="1"/>
        <v>0</v>
      </c>
      <c r="Q28" s="33">
        <f t="shared" si="1"/>
        <v>0</v>
      </c>
      <c r="R28" s="33">
        <f t="shared" si="1"/>
        <v>0</v>
      </c>
      <c r="S28" s="33">
        <f t="shared" si="1"/>
        <v>0</v>
      </c>
      <c r="T28" s="33">
        <f t="shared" si="1"/>
        <v>0</v>
      </c>
      <c r="U28" s="33">
        <f t="shared" si="1"/>
        <v>97</v>
      </c>
      <c r="V28" s="33">
        <f t="shared" si="1"/>
        <v>0</v>
      </c>
      <c r="W28" s="33">
        <f t="shared" si="1"/>
        <v>0</v>
      </c>
      <c r="X28" s="33">
        <f t="shared" si="1"/>
        <v>0</v>
      </c>
      <c r="Y28" s="33">
        <f t="shared" si="1"/>
        <v>0</v>
      </c>
      <c r="Z28" s="33">
        <f t="shared" si="1"/>
        <v>0</v>
      </c>
      <c r="AA28" s="33">
        <f t="shared" si="1"/>
        <v>0</v>
      </c>
      <c r="AB28" s="33">
        <f t="shared" si="1"/>
        <v>0</v>
      </c>
      <c r="AC28" s="33">
        <f t="shared" si="1"/>
        <v>0</v>
      </c>
      <c r="AD28" s="8" t="s">
        <v>37</v>
      </c>
      <c r="AE28" s="15"/>
      <c r="AF28" s="15"/>
    </row>
    <row r="29" spans="1:35" ht="65.099999999999994" customHeight="1" thickBot="1" x14ac:dyDescent="0.55000000000000004">
      <c r="A29" s="4"/>
      <c r="B29" s="62"/>
      <c r="C29" s="61"/>
      <c r="D29" s="62"/>
      <c r="E29" s="61"/>
      <c r="F29" s="62"/>
      <c r="G29" s="61"/>
      <c r="H29" s="62"/>
      <c r="I29" s="61"/>
      <c r="J29" s="62"/>
      <c r="K29" s="61"/>
      <c r="L29" s="62"/>
      <c r="M29" s="61"/>
      <c r="N29" s="62"/>
      <c r="O29" s="61"/>
      <c r="P29" s="62"/>
      <c r="Q29" s="61"/>
      <c r="R29" s="62"/>
      <c r="S29" s="61"/>
      <c r="T29" s="62"/>
      <c r="U29" s="61"/>
      <c r="V29" s="62"/>
      <c r="W29" s="61"/>
      <c r="X29" s="62"/>
      <c r="Y29" s="61"/>
      <c r="Z29" s="62"/>
      <c r="AA29" s="61"/>
      <c r="AB29" s="62"/>
      <c r="AC29" s="61"/>
      <c r="AD29" s="4"/>
      <c r="AE29" s="15"/>
      <c r="AF29" s="15"/>
    </row>
    <row r="30" spans="1:35" ht="65.099999999999994" customHeight="1" thickBot="1" x14ac:dyDescent="0.55000000000000004">
      <c r="A30" s="6" t="s">
        <v>38</v>
      </c>
      <c r="B30" s="33">
        <f>+B18+B28</f>
        <v>22</v>
      </c>
      <c r="C30" s="33">
        <f t="shared" ref="C30:AB30" si="2">+C18+C28</f>
        <v>481</v>
      </c>
      <c r="D30" s="33">
        <f t="shared" si="2"/>
        <v>32</v>
      </c>
      <c r="E30" s="33">
        <f t="shared" si="2"/>
        <v>754</v>
      </c>
      <c r="F30" s="33">
        <f t="shared" si="2"/>
        <v>30</v>
      </c>
      <c r="G30" s="33">
        <f t="shared" si="2"/>
        <v>711</v>
      </c>
      <c r="H30" s="33">
        <f t="shared" si="2"/>
        <v>32</v>
      </c>
      <c r="I30" s="33">
        <f t="shared" si="2"/>
        <v>749</v>
      </c>
      <c r="J30" s="33">
        <f t="shared" si="2"/>
        <v>45</v>
      </c>
      <c r="K30" s="33">
        <f t="shared" si="2"/>
        <v>1044</v>
      </c>
      <c r="L30" s="33">
        <f t="shared" si="2"/>
        <v>9</v>
      </c>
      <c r="M30" s="33">
        <f t="shared" si="2"/>
        <v>278</v>
      </c>
      <c r="N30" s="33">
        <f t="shared" si="2"/>
        <v>16</v>
      </c>
      <c r="O30" s="33">
        <f t="shared" si="2"/>
        <v>343</v>
      </c>
      <c r="P30" s="33">
        <f t="shared" si="2"/>
        <v>20</v>
      </c>
      <c r="Q30" s="33">
        <f t="shared" si="2"/>
        <v>478</v>
      </c>
      <c r="R30" s="33">
        <f t="shared" si="2"/>
        <v>24</v>
      </c>
      <c r="S30" s="33">
        <f t="shared" si="2"/>
        <v>449</v>
      </c>
      <c r="T30" s="33">
        <f t="shared" si="2"/>
        <v>21</v>
      </c>
      <c r="U30" s="33">
        <f t="shared" si="2"/>
        <v>513</v>
      </c>
      <c r="V30" s="33">
        <f t="shared" si="2"/>
        <v>24</v>
      </c>
      <c r="W30" s="33">
        <f t="shared" si="2"/>
        <v>519</v>
      </c>
      <c r="X30" s="33">
        <f t="shared" si="2"/>
        <v>16</v>
      </c>
      <c r="Y30" s="33">
        <f t="shared" si="2"/>
        <v>308</v>
      </c>
      <c r="Z30" s="33">
        <f t="shared" si="2"/>
        <v>7</v>
      </c>
      <c r="AA30" s="33">
        <f t="shared" si="2"/>
        <v>102</v>
      </c>
      <c r="AB30" s="33">
        <f t="shared" si="2"/>
        <v>7</v>
      </c>
      <c r="AC30" s="33">
        <f>+AC18+AC28</f>
        <v>71</v>
      </c>
      <c r="AD30" s="8" t="s">
        <v>38</v>
      </c>
      <c r="AE30" s="15"/>
      <c r="AF30" s="15"/>
    </row>
    <row r="31" spans="1:35" ht="65.099999999999994" customHeight="1" x14ac:dyDescent="0.5">
      <c r="A31" s="3"/>
      <c r="B31" s="49"/>
      <c r="C31" s="47"/>
      <c r="D31" s="46"/>
      <c r="E31" s="47"/>
      <c r="F31" s="46"/>
      <c r="G31" s="47"/>
      <c r="H31" s="46"/>
      <c r="I31" s="47"/>
      <c r="J31" s="46"/>
      <c r="K31" s="47"/>
      <c r="L31" s="46"/>
      <c r="M31" s="47"/>
      <c r="N31" s="46"/>
      <c r="O31" s="47"/>
      <c r="P31" s="46"/>
      <c r="Q31" s="47"/>
      <c r="R31" s="46"/>
      <c r="S31" s="47"/>
      <c r="T31" s="46"/>
      <c r="U31" s="47"/>
      <c r="V31" s="46"/>
      <c r="W31" s="47"/>
      <c r="X31" s="46"/>
      <c r="Y31" s="47"/>
      <c r="Z31" s="49"/>
      <c r="AA31" s="47"/>
      <c r="AB31" s="46"/>
      <c r="AC31" s="47"/>
      <c r="AD31" s="4"/>
      <c r="AE31" s="15"/>
      <c r="AF31" s="15"/>
    </row>
    <row r="32" spans="1:35" ht="65.099999999999994" customHeight="1" x14ac:dyDescent="0.5">
      <c r="A32" s="3" t="s">
        <v>39</v>
      </c>
      <c r="B32" s="50"/>
      <c r="C32" s="51">
        <v>243</v>
      </c>
      <c r="D32" s="50"/>
      <c r="E32" s="51">
        <v>396</v>
      </c>
      <c r="F32" s="50"/>
      <c r="G32" s="51">
        <v>338</v>
      </c>
      <c r="H32" s="50"/>
      <c r="I32" s="51">
        <v>363</v>
      </c>
      <c r="J32" s="50"/>
      <c r="K32" s="51">
        <v>486</v>
      </c>
      <c r="L32" s="50"/>
      <c r="M32" s="51">
        <v>111</v>
      </c>
      <c r="N32" s="50"/>
      <c r="O32" s="51">
        <v>139</v>
      </c>
      <c r="P32" s="50"/>
      <c r="Q32" s="51">
        <v>227</v>
      </c>
      <c r="R32" s="50"/>
      <c r="S32" s="51">
        <v>237</v>
      </c>
      <c r="T32" s="50"/>
      <c r="U32" s="51">
        <v>242</v>
      </c>
      <c r="V32" s="50"/>
      <c r="W32" s="51">
        <v>254</v>
      </c>
      <c r="X32" s="50"/>
      <c r="Y32" s="51">
        <v>135</v>
      </c>
      <c r="Z32" s="50"/>
      <c r="AA32" s="51">
        <v>42</v>
      </c>
      <c r="AB32" s="50"/>
      <c r="AC32" s="51">
        <v>37</v>
      </c>
      <c r="AD32" s="4" t="s">
        <v>39</v>
      </c>
      <c r="AE32" s="15"/>
      <c r="AF32" s="15"/>
    </row>
    <row r="33" spans="1:32" ht="65.099999999999994" customHeight="1" thickBot="1" x14ac:dyDescent="0.55000000000000004">
      <c r="A33" s="3" t="s">
        <v>40</v>
      </c>
      <c r="B33" s="52"/>
      <c r="C33" s="53">
        <v>238</v>
      </c>
      <c r="D33" s="53"/>
      <c r="E33" s="53">
        <v>358</v>
      </c>
      <c r="F33" s="53"/>
      <c r="G33" s="53">
        <v>373</v>
      </c>
      <c r="H33" s="53"/>
      <c r="I33" s="53">
        <v>386</v>
      </c>
      <c r="J33" s="53"/>
      <c r="K33" s="53">
        <v>558</v>
      </c>
      <c r="L33" s="53"/>
      <c r="M33" s="53">
        <v>167</v>
      </c>
      <c r="N33" s="53"/>
      <c r="O33" s="53">
        <v>204</v>
      </c>
      <c r="P33" s="53"/>
      <c r="Q33" s="53">
        <v>251</v>
      </c>
      <c r="R33" s="53"/>
      <c r="S33" s="53">
        <v>212</v>
      </c>
      <c r="T33" s="53"/>
      <c r="U33" s="53">
        <v>271</v>
      </c>
      <c r="V33" s="53"/>
      <c r="W33" s="53">
        <v>265</v>
      </c>
      <c r="X33" s="53"/>
      <c r="Y33" s="53">
        <v>173</v>
      </c>
      <c r="Z33" s="53"/>
      <c r="AA33" s="53">
        <v>60</v>
      </c>
      <c r="AB33" s="53"/>
      <c r="AC33" s="53">
        <v>34</v>
      </c>
      <c r="AD33" s="4" t="s">
        <v>40</v>
      </c>
      <c r="AE33" s="15"/>
      <c r="AF33" s="15"/>
    </row>
  </sheetData>
  <sheetProtection sheet="1" objects="1" scenarios="1"/>
  <mergeCells count="20">
    <mergeCell ref="L5:M5"/>
    <mergeCell ref="A1:E1"/>
    <mergeCell ref="A2:E2"/>
    <mergeCell ref="B4:G4"/>
    <mergeCell ref="H4:M4"/>
    <mergeCell ref="B5:C5"/>
    <mergeCell ref="D5:E5"/>
    <mergeCell ref="F5:G5"/>
    <mergeCell ref="H5:I5"/>
    <mergeCell ref="J5:K5"/>
    <mergeCell ref="N4:S4"/>
    <mergeCell ref="T4:AC4"/>
    <mergeCell ref="Z5:AA5"/>
    <mergeCell ref="AB5:AC5"/>
    <mergeCell ref="N5:O5"/>
    <mergeCell ref="P5:Q5"/>
    <mergeCell ref="R5:S5"/>
    <mergeCell ref="T5:U5"/>
    <mergeCell ref="V5:W5"/>
    <mergeCell ref="X5:Y5"/>
  </mergeCells>
  <pageMargins left="0.23622047244094491" right="0.23622047244094491" top="0.74803149606299213" bottom="0.74803149606299213" header="0.31496062992125984" footer="0.31496062992125984"/>
  <pageSetup paperSize="9" scale="2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5"/>
  <sheetViews>
    <sheetView zoomScale="30" zoomScaleNormal="30" workbookViewId="0">
      <pane ySplit="5" topLeftCell="A8" activePane="bottomLeft" state="frozen"/>
      <selection pane="bottomLeft" activeCell="H20" sqref="H20"/>
    </sheetView>
  </sheetViews>
  <sheetFormatPr defaultRowHeight="15" x14ac:dyDescent="0.25"/>
  <cols>
    <col min="1" max="1" width="37.42578125" customWidth="1"/>
    <col min="2" max="28" width="18.85546875" customWidth="1"/>
    <col min="29" max="29" width="36.85546875" bestFit="1" customWidth="1"/>
    <col min="30" max="30" width="37.42578125" customWidth="1"/>
    <col min="32" max="32" width="11" customWidth="1"/>
  </cols>
  <sheetData>
    <row r="1" spans="1:33" ht="31.5" x14ac:dyDescent="0.5">
      <c r="A1" s="73" t="str">
        <f>+'Side 1'!A1:E1</f>
        <v>ESBJERG KOMMUNE</v>
      </c>
      <c r="B1" s="73"/>
      <c r="C1" s="73"/>
      <c r="D1" s="73"/>
      <c r="E1" s="73"/>
      <c r="F1" s="19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5"/>
      <c r="AF1" s="5"/>
      <c r="AG1" s="5"/>
    </row>
    <row r="2" spans="1:33" ht="31.5" x14ac:dyDescent="0.5">
      <c r="A2" s="73" t="str">
        <f>+'Side 1'!A2:E2</f>
        <v>Elevtal pr. 5. september 2023</v>
      </c>
      <c r="B2" s="73"/>
      <c r="C2" s="73"/>
      <c r="D2" s="73"/>
      <c r="E2" s="73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5"/>
      <c r="AF2" s="5"/>
      <c r="AG2" s="5"/>
    </row>
    <row r="3" spans="1:33" ht="32.25" thickBot="1" x14ac:dyDescent="0.55000000000000004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5"/>
      <c r="AF3" s="5"/>
      <c r="AG3" s="5"/>
    </row>
    <row r="4" spans="1:33" ht="65.099999999999994" customHeight="1" thickBot="1" x14ac:dyDescent="0.55000000000000004">
      <c r="A4" s="15"/>
      <c r="B4" s="68" t="s">
        <v>41</v>
      </c>
      <c r="C4" s="69"/>
      <c r="D4" s="69"/>
      <c r="E4" s="69"/>
      <c r="F4" s="69"/>
      <c r="G4" s="70"/>
      <c r="H4" s="68" t="s">
        <v>42</v>
      </c>
      <c r="I4" s="69"/>
      <c r="J4" s="69"/>
      <c r="K4" s="69"/>
      <c r="L4" s="69"/>
      <c r="M4" s="69"/>
      <c r="N4" s="68" t="s">
        <v>43</v>
      </c>
      <c r="O4" s="69"/>
      <c r="P4" s="69"/>
      <c r="Q4" s="69"/>
      <c r="R4" s="69"/>
      <c r="S4" s="69"/>
      <c r="T4" s="69"/>
      <c r="U4" s="70"/>
      <c r="V4" s="68" t="s">
        <v>44</v>
      </c>
      <c r="W4" s="69"/>
      <c r="X4" s="68" t="s">
        <v>45</v>
      </c>
      <c r="Y4" s="69"/>
      <c r="Z4" s="69"/>
      <c r="AA4" s="69"/>
      <c r="AB4" s="76" t="s">
        <v>46</v>
      </c>
      <c r="AC4" s="77"/>
      <c r="AD4" s="15"/>
      <c r="AE4" s="5"/>
      <c r="AF4" s="5"/>
      <c r="AG4" s="5"/>
    </row>
    <row r="5" spans="1:33" ht="65.099999999999994" customHeight="1" thickBot="1" x14ac:dyDescent="0.55000000000000004">
      <c r="A5" s="15"/>
      <c r="B5" s="71" t="s">
        <v>47</v>
      </c>
      <c r="C5" s="72"/>
      <c r="D5" s="71" t="s">
        <v>48</v>
      </c>
      <c r="E5" s="72"/>
      <c r="F5" s="71" t="s">
        <v>49</v>
      </c>
      <c r="G5" s="72"/>
      <c r="H5" s="71" t="s">
        <v>50</v>
      </c>
      <c r="I5" s="72"/>
      <c r="J5" s="71" t="s">
        <v>51</v>
      </c>
      <c r="K5" s="72"/>
      <c r="L5" s="71" t="s">
        <v>52</v>
      </c>
      <c r="M5" s="72"/>
      <c r="N5" s="74" t="s">
        <v>53</v>
      </c>
      <c r="O5" s="75"/>
      <c r="P5" s="74" t="s">
        <v>54</v>
      </c>
      <c r="Q5" s="75"/>
      <c r="R5" s="74" t="s">
        <v>55</v>
      </c>
      <c r="S5" s="75"/>
      <c r="T5" s="74" t="s">
        <v>56</v>
      </c>
      <c r="U5" s="75"/>
      <c r="V5" s="74" t="s">
        <v>44</v>
      </c>
      <c r="W5" s="75"/>
      <c r="X5" s="74" t="s">
        <v>57</v>
      </c>
      <c r="Y5" s="75"/>
      <c r="Z5" s="74" t="s">
        <v>58</v>
      </c>
      <c r="AA5" s="75"/>
      <c r="AB5" s="78"/>
      <c r="AC5" s="79"/>
      <c r="AD5" s="15"/>
      <c r="AE5" s="5"/>
      <c r="AF5" s="5"/>
      <c r="AG5" s="5"/>
    </row>
    <row r="6" spans="1:33" ht="66" customHeight="1" x14ac:dyDescent="0.5">
      <c r="A6" s="3" t="s">
        <v>19</v>
      </c>
      <c r="B6" s="13" t="s">
        <v>20</v>
      </c>
      <c r="C6" s="12" t="s">
        <v>21</v>
      </c>
      <c r="D6" s="13" t="s">
        <v>20</v>
      </c>
      <c r="E6" s="12" t="s">
        <v>21</v>
      </c>
      <c r="F6" s="13" t="s">
        <v>20</v>
      </c>
      <c r="G6" s="12" t="s">
        <v>21</v>
      </c>
      <c r="H6" s="13" t="s">
        <v>20</v>
      </c>
      <c r="I6" s="12" t="s">
        <v>21</v>
      </c>
      <c r="J6" s="13" t="s">
        <v>20</v>
      </c>
      <c r="K6" s="12" t="s">
        <v>21</v>
      </c>
      <c r="L6" s="13" t="s">
        <v>20</v>
      </c>
      <c r="M6" s="12" t="s">
        <v>21</v>
      </c>
      <c r="N6" s="13" t="s">
        <v>20</v>
      </c>
      <c r="O6" s="12" t="s">
        <v>21</v>
      </c>
      <c r="P6" s="13" t="s">
        <v>20</v>
      </c>
      <c r="Q6" s="12" t="s">
        <v>21</v>
      </c>
      <c r="R6" s="13" t="s">
        <v>20</v>
      </c>
      <c r="S6" s="12" t="s">
        <v>21</v>
      </c>
      <c r="T6" s="13" t="s">
        <v>20</v>
      </c>
      <c r="U6" s="12" t="s">
        <v>21</v>
      </c>
      <c r="V6" s="13" t="s">
        <v>20</v>
      </c>
      <c r="W6" s="12" t="s">
        <v>21</v>
      </c>
      <c r="X6" s="13" t="s">
        <v>20</v>
      </c>
      <c r="Y6" s="12" t="s">
        <v>21</v>
      </c>
      <c r="Z6" s="13" t="s">
        <v>20</v>
      </c>
      <c r="AA6" s="14" t="s">
        <v>21</v>
      </c>
      <c r="AB6" s="9" t="s">
        <v>20</v>
      </c>
      <c r="AC6" s="10" t="s">
        <v>21</v>
      </c>
      <c r="AD6" s="15" t="s">
        <v>19</v>
      </c>
      <c r="AE6" s="5"/>
      <c r="AF6" s="5"/>
      <c r="AG6" s="5"/>
    </row>
    <row r="7" spans="1:33" ht="66" customHeight="1" x14ac:dyDescent="0.7">
      <c r="A7" s="3" t="s">
        <v>22</v>
      </c>
      <c r="B7" s="24">
        <v>1</v>
      </c>
      <c r="C7" s="25">
        <v>25</v>
      </c>
      <c r="D7" s="24">
        <v>2</v>
      </c>
      <c r="E7" s="26">
        <f>19+18</f>
        <v>37</v>
      </c>
      <c r="F7" s="24">
        <v>3</v>
      </c>
      <c r="G7" s="25">
        <f>20+22+19</f>
        <v>61</v>
      </c>
      <c r="H7" s="24">
        <v>2</v>
      </c>
      <c r="I7" s="25">
        <f>19+19</f>
        <v>38</v>
      </c>
      <c r="J7" s="24">
        <v>1</v>
      </c>
      <c r="K7" s="25">
        <v>28</v>
      </c>
      <c r="L7" s="24">
        <v>2</v>
      </c>
      <c r="M7" s="25">
        <f>25+24</f>
        <v>49</v>
      </c>
      <c r="N7" s="24">
        <v>1</v>
      </c>
      <c r="O7" s="25">
        <v>20</v>
      </c>
      <c r="P7" s="24">
        <v>2</v>
      </c>
      <c r="Q7" s="26">
        <f>22+22</f>
        <v>44</v>
      </c>
      <c r="R7" s="24">
        <v>1</v>
      </c>
      <c r="S7" s="26">
        <v>24</v>
      </c>
      <c r="T7" s="24">
        <v>2</v>
      </c>
      <c r="U7" s="26">
        <f>27+27</f>
        <v>54</v>
      </c>
      <c r="V7" s="24">
        <v>1</v>
      </c>
      <c r="W7" s="26">
        <v>19</v>
      </c>
      <c r="X7" s="24"/>
      <c r="Y7" s="26"/>
      <c r="Z7" s="24"/>
      <c r="AA7" s="25"/>
      <c r="AB7" s="24">
        <f>+Z7+X7+V7+T7+R7+P7+N7+L7+J7+H7+F7+D7+B7+'Side 1'!AB7+'Side 1'!Z7+'Side 1'!X7+'Side 1'!V7+'Side 1'!T7+'Side 1'!R7+'Side 1'!P7+'Side 1'!N7+'Side 1'!L7+'Side 1'!J7+'Side 1'!H7+'Side 1'!F7+'Side 1'!D7+'Side 1'!B7</f>
        <v>48</v>
      </c>
      <c r="AC7" s="26">
        <f>+'Side 1'!C7+'Side 1'!E7+'Side 1'!G7+'Side 1'!I7+'Side 1'!K7+'Side 1'!M7+'Side 1'!O7+'Side 1'!Q7+'Side 1'!S7+'Side 1'!U7+'Side 1'!W7+'Side 1'!Y7+'Side 1'!AA7+'Side 1'!AC7+'Side 2'!C7+'Side 2'!E7+'Side 2'!G7+'Side 2'!I7+'Side 2'!K7+'Side 2'!M7+'Side 2'!O7+'Side 2'!Q7+'Side 2'!S7+'Side 2'!U7+'Side 2'!W7+'Side 2'!Y7+'Side 2'!AA7</f>
        <v>1050</v>
      </c>
      <c r="AD7" s="15" t="s">
        <v>59</v>
      </c>
      <c r="AE7" s="5"/>
      <c r="AF7" s="5"/>
      <c r="AG7" s="5"/>
    </row>
    <row r="8" spans="1:33" ht="66" customHeight="1" x14ac:dyDescent="0.7">
      <c r="A8" s="3" t="s">
        <v>23</v>
      </c>
      <c r="B8" s="24">
        <v>1</v>
      </c>
      <c r="C8" s="25">
        <v>26</v>
      </c>
      <c r="D8" s="24">
        <v>2</v>
      </c>
      <c r="E8" s="26">
        <f>21+20</f>
        <v>41</v>
      </c>
      <c r="F8" s="24">
        <v>2</v>
      </c>
      <c r="G8" s="25">
        <f>22+22</f>
        <v>44</v>
      </c>
      <c r="H8" s="27">
        <v>2</v>
      </c>
      <c r="I8" s="25">
        <f>20+20</f>
        <v>40</v>
      </c>
      <c r="J8" s="24">
        <v>1</v>
      </c>
      <c r="K8" s="25">
        <v>19</v>
      </c>
      <c r="L8" s="24">
        <v>2</v>
      </c>
      <c r="M8" s="25">
        <f>22+22</f>
        <v>44</v>
      </c>
      <c r="N8" s="24">
        <v>2</v>
      </c>
      <c r="O8" s="25">
        <f>18+12</f>
        <v>30</v>
      </c>
      <c r="P8" s="24">
        <v>2</v>
      </c>
      <c r="Q8" s="26">
        <f>17+16</f>
        <v>33</v>
      </c>
      <c r="R8" s="24">
        <v>2</v>
      </c>
      <c r="S8" s="26">
        <f>17+16</f>
        <v>33</v>
      </c>
      <c r="T8" s="24">
        <v>2</v>
      </c>
      <c r="U8" s="26">
        <f>23+22</f>
        <v>45</v>
      </c>
      <c r="V8" s="24">
        <v>1</v>
      </c>
      <c r="W8" s="26">
        <v>20</v>
      </c>
      <c r="X8" s="24"/>
      <c r="Y8" s="26"/>
      <c r="Z8" s="24"/>
      <c r="AA8" s="25"/>
      <c r="AB8" s="24">
        <f>+Z8+X8+V8+T8+R8+P8+N8+L8+J8+H8+F8+D8+B8+'Side 1'!AB8+'Side 1'!Z8+'Side 1'!X8+'Side 1'!V8+'Side 1'!T8+'Side 1'!R8+'Side 1'!P8+'Side 1'!N8+'Side 1'!L8+'Side 1'!J8+'Side 1'!H8+'Side 1'!F8+'Side 1'!D8+'Side 1'!B8</f>
        <v>50</v>
      </c>
      <c r="AC8" s="26">
        <f>+'Side 1'!C8+'Side 1'!E8+'Side 1'!G8+'Side 1'!I8+'Side 1'!K8+'Side 1'!M8+'Side 1'!O8+'Side 1'!Q8+'Side 1'!S8+'Side 1'!U8+'Side 1'!W8+'Side 1'!Y8+'Side 1'!AA8+'Side 1'!AC8+'Side 2'!C8+'Side 2'!E8+'Side 2'!G8+'Side 2'!I8+'Side 2'!K8+'Side 2'!M8+'Side 2'!O8+'Side 2'!Q8+'Side 2'!S8+'Side 2'!U8+'Side 2'!W8+'Side 2'!Y8+'Side 2'!AA8</f>
        <v>1042</v>
      </c>
      <c r="AD8" s="15" t="s">
        <v>23</v>
      </c>
      <c r="AE8" s="5"/>
      <c r="AF8" s="5"/>
      <c r="AG8" s="5"/>
    </row>
    <row r="9" spans="1:33" ht="66" customHeight="1" x14ac:dyDescent="0.7">
      <c r="A9" s="3" t="s">
        <v>24</v>
      </c>
      <c r="B9" s="27">
        <v>2</v>
      </c>
      <c r="C9" s="25">
        <f>17+17</f>
        <v>34</v>
      </c>
      <c r="D9" s="24">
        <v>2</v>
      </c>
      <c r="E9" s="26">
        <f>23+23</f>
        <v>46</v>
      </c>
      <c r="F9" s="24">
        <v>2</v>
      </c>
      <c r="G9" s="25">
        <f>25+25</f>
        <v>50</v>
      </c>
      <c r="H9" s="27">
        <v>2</v>
      </c>
      <c r="I9" s="25">
        <f>18+17</f>
        <v>35</v>
      </c>
      <c r="J9" s="24">
        <v>2</v>
      </c>
      <c r="K9" s="25">
        <f>12+13</f>
        <v>25</v>
      </c>
      <c r="L9" s="24">
        <v>3</v>
      </c>
      <c r="M9" s="25">
        <f>22+22+20</f>
        <v>64</v>
      </c>
      <c r="N9" s="24">
        <v>2</v>
      </c>
      <c r="O9" s="25">
        <f>13+18</f>
        <v>31</v>
      </c>
      <c r="P9" s="24">
        <v>2</v>
      </c>
      <c r="Q9" s="26">
        <f>23+24</f>
        <v>47</v>
      </c>
      <c r="R9" s="24">
        <v>2</v>
      </c>
      <c r="S9" s="26">
        <f>18+19</f>
        <v>37</v>
      </c>
      <c r="T9" s="24">
        <v>3</v>
      </c>
      <c r="U9" s="26">
        <f>20+20+20+1</f>
        <v>61</v>
      </c>
      <c r="V9" s="24">
        <v>1</v>
      </c>
      <c r="W9" s="26">
        <v>20</v>
      </c>
      <c r="X9" s="24"/>
      <c r="Y9" s="26"/>
      <c r="Z9" s="24"/>
      <c r="AA9" s="25"/>
      <c r="AB9" s="24">
        <f>+Z9+X9+V9+T9+R9+P9+N9+L9+J9+H9+F9+D9+B9+'Side 1'!AB9+'Side 1'!Z9+'Side 1'!X9+'Side 1'!V9+'Side 1'!T9+'Side 1'!R9+'Side 1'!P9+'Side 1'!N9+'Side 1'!L9+'Side 1'!J9+'Side 1'!H9+'Side 1'!F9+'Side 1'!D9+'Side 1'!B9</f>
        <v>53</v>
      </c>
      <c r="AC9" s="26">
        <f>+'Side 1'!C9+'Side 1'!E9+'Side 1'!G9+'Side 1'!I9+'Side 1'!K9+'Side 1'!M9+'Side 1'!O9+'Side 1'!Q9+'Side 1'!S9+'Side 1'!U9+'Side 1'!W9+'Side 1'!Y9+'Side 1'!AA9+'Side 1'!AC9+'Side 2'!C9+'Side 2'!E9+'Side 2'!G9+'Side 2'!I9+'Side 2'!K9+'Side 2'!M9+'Side 2'!O9+'Side 2'!Q9+'Side 2'!S9+'Side 2'!U9+'Side 2'!W9+'Side 2'!Y9+'Side 2'!AA9</f>
        <v>1074</v>
      </c>
      <c r="AD9" s="15" t="s">
        <v>24</v>
      </c>
      <c r="AE9" s="5"/>
      <c r="AF9" s="5"/>
      <c r="AG9" s="5"/>
    </row>
    <row r="10" spans="1:33" ht="66" customHeight="1" x14ac:dyDescent="0.7">
      <c r="A10" s="3" t="s">
        <v>25</v>
      </c>
      <c r="B10" s="27">
        <v>1</v>
      </c>
      <c r="C10" s="25">
        <v>17</v>
      </c>
      <c r="D10" s="27">
        <v>2</v>
      </c>
      <c r="E10" s="26">
        <f>25+25</f>
        <v>50</v>
      </c>
      <c r="F10" s="24">
        <v>2</v>
      </c>
      <c r="G10" s="25">
        <f>22+24</f>
        <v>46</v>
      </c>
      <c r="H10" s="27">
        <v>1</v>
      </c>
      <c r="I10" s="25">
        <v>21</v>
      </c>
      <c r="J10" s="24">
        <v>2</v>
      </c>
      <c r="K10" s="25">
        <f>12+16</f>
        <v>28</v>
      </c>
      <c r="L10" s="24">
        <v>2</v>
      </c>
      <c r="M10" s="25">
        <f>24+23</f>
        <v>47</v>
      </c>
      <c r="N10" s="24">
        <v>2</v>
      </c>
      <c r="O10" s="25">
        <f>18+19</f>
        <v>37</v>
      </c>
      <c r="P10" s="24">
        <v>2</v>
      </c>
      <c r="Q10" s="26">
        <f>14+16</f>
        <v>30</v>
      </c>
      <c r="R10" s="24">
        <v>1</v>
      </c>
      <c r="S10" s="26">
        <v>28</v>
      </c>
      <c r="T10" s="27">
        <v>2</v>
      </c>
      <c r="U10" s="26">
        <f>20+19</f>
        <v>39</v>
      </c>
      <c r="V10" s="27">
        <v>1</v>
      </c>
      <c r="W10" s="26">
        <v>12</v>
      </c>
      <c r="X10" s="24"/>
      <c r="Y10" s="26"/>
      <c r="Z10" s="24"/>
      <c r="AA10" s="25"/>
      <c r="AB10" s="24">
        <f>+Z10+X10+V10+T10+R10+P10+N10+L10+J10+H10+F10+D10+B10+'Side 1'!AB10+'Side 1'!Z10+'Side 1'!X10+'Side 1'!V10+'Side 1'!T10+'Side 1'!R10+'Side 1'!P10+'Side 1'!N10+'Side 1'!L10+'Side 1'!J10+'Side 1'!H10+'Side 1'!F10+'Side 1'!D10+'Side 1'!B10</f>
        <v>46</v>
      </c>
      <c r="AC10" s="26">
        <f>+'Side 1'!C10+'Side 1'!E10+'Side 1'!G10+'Side 1'!I10+'Side 1'!K10+'Side 1'!M10+'Side 1'!O10+'Side 1'!Q10+'Side 1'!S10+'Side 1'!U10+'Side 1'!W10+'Side 1'!Y10+'Side 1'!AA10+'Side 1'!AC10+'Side 2'!C10+'Side 2'!E10+'Side 2'!G10+'Side 2'!I10+'Side 2'!K10+'Side 2'!M10+'Side 2'!O10+'Side 2'!Q10+'Side 2'!S10+'Side 2'!U10+'Side 2'!W10+'Side 2'!Y10+'Side 2'!AA10</f>
        <v>956</v>
      </c>
      <c r="AD10" s="15" t="s">
        <v>25</v>
      </c>
      <c r="AE10" s="5"/>
      <c r="AF10" s="5"/>
      <c r="AG10" s="5"/>
    </row>
    <row r="11" spans="1:33" ht="66" customHeight="1" x14ac:dyDescent="0.7">
      <c r="A11" s="3" t="s">
        <v>26</v>
      </c>
      <c r="B11" s="27">
        <v>1</v>
      </c>
      <c r="C11" s="25">
        <v>21</v>
      </c>
      <c r="D11" s="27">
        <v>2</v>
      </c>
      <c r="E11" s="26">
        <f>19+20</f>
        <v>39</v>
      </c>
      <c r="F11" s="27">
        <v>3</v>
      </c>
      <c r="G11" s="25">
        <f>20+19+20</f>
        <v>59</v>
      </c>
      <c r="H11" s="27">
        <v>2</v>
      </c>
      <c r="I11" s="25">
        <f>25+25</f>
        <v>50</v>
      </c>
      <c r="J11" s="24">
        <v>2</v>
      </c>
      <c r="K11" s="25">
        <f>14+16</f>
        <v>30</v>
      </c>
      <c r="L11" s="27">
        <v>3</v>
      </c>
      <c r="M11" s="25">
        <f>16+25+21</f>
        <v>62</v>
      </c>
      <c r="N11" s="27">
        <v>2</v>
      </c>
      <c r="O11" s="25">
        <f>17+15</f>
        <v>32</v>
      </c>
      <c r="P11" s="27">
        <v>1</v>
      </c>
      <c r="Q11" s="26">
        <v>28</v>
      </c>
      <c r="R11" s="27">
        <v>2</v>
      </c>
      <c r="S11" s="26">
        <f>17+18</f>
        <v>35</v>
      </c>
      <c r="T11" s="27">
        <v>2</v>
      </c>
      <c r="U11" s="26">
        <f>23+23</f>
        <v>46</v>
      </c>
      <c r="V11" s="27">
        <v>1</v>
      </c>
      <c r="W11" s="26">
        <v>15</v>
      </c>
      <c r="X11" s="24"/>
      <c r="Y11" s="26"/>
      <c r="Z11" s="24"/>
      <c r="AA11" s="25"/>
      <c r="AB11" s="24">
        <f>+Z11+X11+V11+T11+R11+P11+N11+L11+J11+H11+F11+D11+B11+'Side 1'!AB11+'Side 1'!Z11+'Side 1'!X11+'Side 1'!V11+'Side 1'!T11+'Side 1'!R11+'Side 1'!P11+'Side 1'!N11+'Side 1'!L11+'Side 1'!J11+'Side 1'!H11+'Side 1'!F11+'Side 1'!D11+'Side 1'!B11</f>
        <v>48</v>
      </c>
      <c r="AC11" s="26">
        <f>+'Side 1'!C11+'Side 1'!E11+'Side 1'!G11+'Side 1'!I11+'Side 1'!K11+'Side 1'!M11+'Side 1'!O11+'Side 1'!Q11+'Side 1'!S11+'Side 1'!U11+'Side 1'!W11+'Side 1'!Y11+'Side 1'!AA11+'Side 1'!AC11+'Side 2'!C11+'Side 2'!E11+'Side 2'!G11+'Side 2'!I11+'Side 2'!K11+'Side 2'!M11+'Side 2'!O11+'Side 2'!Q11+'Side 2'!S11+'Side 2'!U11+'Side 2'!W11+'Side 2'!Y11+'Side 2'!AA11</f>
        <v>1035</v>
      </c>
      <c r="AD11" s="15" t="s">
        <v>26</v>
      </c>
      <c r="AE11" s="5"/>
      <c r="AF11" s="5"/>
      <c r="AG11" s="5"/>
    </row>
    <row r="12" spans="1:33" ht="66" customHeight="1" x14ac:dyDescent="0.7">
      <c r="A12" s="3" t="s">
        <v>27</v>
      </c>
      <c r="B12" s="27">
        <v>1</v>
      </c>
      <c r="C12" s="25">
        <v>17</v>
      </c>
      <c r="D12" s="27">
        <v>2</v>
      </c>
      <c r="E12" s="26">
        <f>13+15</f>
        <v>28</v>
      </c>
      <c r="F12" s="27">
        <v>2</v>
      </c>
      <c r="G12" s="25">
        <f>27+26</f>
        <v>53</v>
      </c>
      <c r="H12" s="27">
        <v>2</v>
      </c>
      <c r="I12" s="25">
        <f>23+24</f>
        <v>47</v>
      </c>
      <c r="J12" s="27">
        <v>1</v>
      </c>
      <c r="K12" s="25">
        <v>25</v>
      </c>
      <c r="L12" s="27">
        <v>2</v>
      </c>
      <c r="M12" s="25">
        <f>18+17</f>
        <v>35</v>
      </c>
      <c r="N12" s="27">
        <v>2</v>
      </c>
      <c r="O12" s="25">
        <f>15+14</f>
        <v>29</v>
      </c>
      <c r="P12" s="27">
        <v>2</v>
      </c>
      <c r="Q12" s="26">
        <f>16+17</f>
        <v>33</v>
      </c>
      <c r="R12" s="27">
        <v>2</v>
      </c>
      <c r="S12" s="26">
        <f>19+18</f>
        <v>37</v>
      </c>
      <c r="T12" s="27">
        <v>2</v>
      </c>
      <c r="U12" s="26">
        <f>27+26</f>
        <v>53</v>
      </c>
      <c r="V12" s="27">
        <v>1</v>
      </c>
      <c r="W12" s="26">
        <v>15</v>
      </c>
      <c r="X12" s="24"/>
      <c r="Y12" s="26"/>
      <c r="Z12" s="24"/>
      <c r="AA12" s="25"/>
      <c r="AB12" s="24">
        <f>+Z12+X12+V12+T12+R12+P12+N12+L12+J12+H12+F12+D12+B12+'Side 1'!AB12+'Side 1'!Z12+'Side 1'!X12+'Side 1'!V12+'Side 1'!T12+'Side 1'!R12+'Side 1'!P12+'Side 1'!N12+'Side 1'!L12+'Side 1'!J12+'Side 1'!H12+'Side 1'!F12+'Side 1'!D12+'Side 1'!B12</f>
        <v>48</v>
      </c>
      <c r="AC12" s="26">
        <f>+'Side 1'!C12+'Side 1'!E12+'Side 1'!G12+'Side 1'!I12+'Side 1'!K12+'Side 1'!M12+'Side 1'!O12+'Side 1'!Q12+'Side 1'!S12+'Side 1'!U12+'Side 1'!W12+'Side 1'!Y12+'Side 1'!AA12+'Side 1'!AC12+'Side 2'!C12+'Side 2'!E12+'Side 2'!G12+'Side 2'!I12+'Side 2'!K12+'Side 2'!M12+'Side 2'!O12+'Side 2'!Q12+'Side 2'!S12+'Side 2'!U12+'Side 2'!W12+'Side 2'!Y12+'Side 2'!AA12</f>
        <v>985</v>
      </c>
      <c r="AD12" s="15" t="s">
        <v>27</v>
      </c>
      <c r="AE12" s="5"/>
      <c r="AF12" s="5"/>
      <c r="AG12" s="5"/>
    </row>
    <row r="13" spans="1:33" ht="66" customHeight="1" x14ac:dyDescent="0.7">
      <c r="A13" s="3" t="s">
        <v>28</v>
      </c>
      <c r="B13" s="27">
        <v>1</v>
      </c>
      <c r="C13" s="25">
        <v>24</v>
      </c>
      <c r="D13" s="27">
        <v>2</v>
      </c>
      <c r="E13" s="26">
        <f>23+21</f>
        <v>44</v>
      </c>
      <c r="F13" s="27">
        <v>2</v>
      </c>
      <c r="G13" s="25">
        <f>25+25</f>
        <v>50</v>
      </c>
      <c r="H13" s="27">
        <v>2</v>
      </c>
      <c r="I13" s="25">
        <f>14+14</f>
        <v>28</v>
      </c>
      <c r="J13" s="27">
        <v>2</v>
      </c>
      <c r="K13" s="25">
        <f>13+15</f>
        <v>28</v>
      </c>
      <c r="L13" s="27">
        <v>3</v>
      </c>
      <c r="M13" s="25">
        <f>20+22+20</f>
        <v>62</v>
      </c>
      <c r="N13" s="27">
        <v>2</v>
      </c>
      <c r="O13" s="25">
        <f>15+14</f>
        <v>29</v>
      </c>
      <c r="P13" s="27">
        <v>2</v>
      </c>
      <c r="Q13" s="26">
        <f>18+17</f>
        <v>35</v>
      </c>
      <c r="R13" s="27">
        <v>2</v>
      </c>
      <c r="S13" s="26">
        <f>16+17</f>
        <v>33</v>
      </c>
      <c r="T13" s="27">
        <v>3</v>
      </c>
      <c r="U13" s="26">
        <f>20+20+20</f>
        <v>60</v>
      </c>
      <c r="V13" s="27">
        <v>1</v>
      </c>
      <c r="W13" s="26">
        <v>17</v>
      </c>
      <c r="X13" s="27"/>
      <c r="Y13" s="26"/>
      <c r="Z13" s="24"/>
      <c r="AA13" s="25"/>
      <c r="AB13" s="24">
        <f>+'Side 1'!B13+'Side 1'!D13+'Side 1'!F13+'Side 1'!H13+'Side 1'!J13+'Side 1'!L13+'Side 1'!N13+'Side 1'!P13+'Side 1'!R13+'Side 1'!T13+'Side 1'!V13+'Side 1'!X13+'Side 1'!Z13+'Side 1'!AB13+'Side 2'!B13+'Side 2'!D13+'Side 2'!F13+'Side 2'!H13+'Side 2'!J13+'Side 2'!L13+'Side 2'!N13+'Side 2'!P13+'Side 2'!R13+'Side 2'!T13+'Side 2'!V13</f>
        <v>51</v>
      </c>
      <c r="AC13" s="26">
        <f>+'Side 1'!C13+'Side 1'!E13+'Side 1'!G13+'Side 1'!I13+'Side 1'!K13+'Side 1'!M13+'Side 1'!O13+'Side 1'!Q13+'Side 1'!S13+'Side 1'!U13+'Side 1'!W13+'Side 1'!Y13+'Side 1'!AA13+'Side 1'!AC13+'Side 2'!C13+'Side 2'!E13+'Side 2'!G13+'Side 2'!I13+'Side 2'!K13+'Side 2'!M13+'Side 2'!O13+'Side 2'!Q13+'Side 2'!S13+'Side 2'!U13+'Side 2'!W13+'Side 2'!Y13+'Side 2'!AA13</f>
        <v>1020</v>
      </c>
      <c r="AD13" s="15" t="s">
        <v>28</v>
      </c>
      <c r="AE13" s="5"/>
      <c r="AF13" s="5"/>
      <c r="AG13" s="5"/>
    </row>
    <row r="14" spans="1:33" ht="66" customHeight="1" x14ac:dyDescent="0.7">
      <c r="A14" s="3" t="s">
        <v>29</v>
      </c>
      <c r="B14" s="27">
        <v>1</v>
      </c>
      <c r="C14" s="25">
        <v>17</v>
      </c>
      <c r="D14" s="27">
        <v>2</v>
      </c>
      <c r="E14" s="26">
        <f>19+20</f>
        <v>39</v>
      </c>
      <c r="F14" s="27">
        <v>3</v>
      </c>
      <c r="G14" s="25">
        <f>20+18+19</f>
        <v>57</v>
      </c>
      <c r="H14" s="27">
        <v>2</v>
      </c>
      <c r="I14" s="25">
        <f>24+22+2</f>
        <v>48</v>
      </c>
      <c r="J14" s="27">
        <v>2</v>
      </c>
      <c r="K14" s="25">
        <f>13+9</f>
        <v>22</v>
      </c>
      <c r="L14" s="27">
        <v>3</v>
      </c>
      <c r="M14" s="25">
        <f>26+24+27</f>
        <v>77</v>
      </c>
      <c r="N14" s="27"/>
      <c r="O14" s="25"/>
      <c r="P14" s="27">
        <v>4</v>
      </c>
      <c r="Q14" s="26">
        <f>22+21+21+21</f>
        <v>85</v>
      </c>
      <c r="R14" s="27">
        <v>2</v>
      </c>
      <c r="S14" s="26">
        <f>19+19</f>
        <v>38</v>
      </c>
      <c r="T14" s="27">
        <v>3</v>
      </c>
      <c r="U14" s="26">
        <f>20+20+14+4</f>
        <v>58</v>
      </c>
      <c r="V14" s="27"/>
      <c r="W14" s="26"/>
      <c r="X14" s="27"/>
      <c r="Y14" s="26"/>
      <c r="Z14" s="24"/>
      <c r="AA14" s="25"/>
      <c r="AB14" s="24">
        <f>+Z14+X14+V14+T14+R14+P14+N14+L14+J14+H14+F14+D14+B14+'Side 1'!AB14+'Side 1'!Z14+'Side 1'!X14+'Side 1'!V14+'Side 1'!T14+'Side 1'!R14+'Side 1'!P14+'Side 1'!N14+'Side 1'!L14+'Side 1'!J14+'Side 1'!H14+'Side 1'!F14+'Side 1'!D14+'Side 1'!B14</f>
        <v>56</v>
      </c>
      <c r="AC14" s="26">
        <f>+'Side 1'!C14+'Side 1'!E14+'Side 1'!G14+'Side 1'!I14+'Side 1'!K14+'Side 1'!M14+'Side 1'!O14+'Side 1'!Q14+'Side 1'!S14+'Side 1'!U14+'Side 1'!W14+'Side 1'!Y14+'Side 1'!AA14+'Side 1'!AC14+'Side 2'!C14+'Side 2'!E14+'Side 2'!G14+'Side 2'!I14+'Side 2'!K14+'Side 2'!M14+'Side 2'!O14+'Side 2'!Q14+'Side 2'!S14+'Side 2'!U14+'Side 2'!W14+'Side 2'!Y14+'Side 2'!AA14</f>
        <v>1199</v>
      </c>
      <c r="AD14" s="15" t="s">
        <v>29</v>
      </c>
      <c r="AE14" s="5"/>
      <c r="AF14" s="5"/>
      <c r="AG14" s="5"/>
    </row>
    <row r="15" spans="1:33" ht="66" customHeight="1" x14ac:dyDescent="0.7">
      <c r="A15" s="3" t="s">
        <v>30</v>
      </c>
      <c r="B15" s="27">
        <v>1</v>
      </c>
      <c r="C15" s="25">
        <v>21</v>
      </c>
      <c r="D15" s="27">
        <v>1</v>
      </c>
      <c r="E15" s="26">
        <v>17</v>
      </c>
      <c r="F15" s="27">
        <v>2</v>
      </c>
      <c r="G15" s="25">
        <f>18+20</f>
        <v>38</v>
      </c>
      <c r="H15" s="27">
        <v>2</v>
      </c>
      <c r="I15" s="25">
        <f>20+19</f>
        <v>39</v>
      </c>
      <c r="J15" s="27">
        <v>2</v>
      </c>
      <c r="K15" s="25">
        <f>15+17</f>
        <v>32</v>
      </c>
      <c r="L15" s="27">
        <v>3</v>
      </c>
      <c r="M15" s="25">
        <f>15+25+25</f>
        <v>65</v>
      </c>
      <c r="N15" s="27"/>
      <c r="O15" s="25"/>
      <c r="P15" s="27">
        <v>3</v>
      </c>
      <c r="Q15" s="26">
        <f>23+19+22</f>
        <v>64</v>
      </c>
      <c r="R15" s="27">
        <v>1</v>
      </c>
      <c r="S15" s="26">
        <v>29</v>
      </c>
      <c r="T15" s="27">
        <v>2</v>
      </c>
      <c r="U15" s="26">
        <f>23+21</f>
        <v>44</v>
      </c>
      <c r="V15" s="27"/>
      <c r="W15" s="26"/>
      <c r="X15" s="27"/>
      <c r="Y15" s="26"/>
      <c r="Z15" s="27"/>
      <c r="AA15" s="25"/>
      <c r="AB15" s="24">
        <f>+Z15+X15+V15+T15+R15+P15+N15+L15+J15+H15+F15+D15+B15+'Side 1'!AB15+'Side 1'!Z15+'Side 1'!X15+'Side 1'!V15+'Side 1'!T15+'Side 1'!R15+'Side 1'!P15+'Side 1'!N15+'Side 1'!L15+'Side 1'!J15+'Side 1'!H15+'Side 1'!F15+'Side 1'!D15+'Side 1'!B15</f>
        <v>51</v>
      </c>
      <c r="AC15" s="26">
        <f>+'Side 1'!C15+'Side 1'!E15+'Side 1'!G15+'Side 1'!I15+'Side 1'!K15+'Side 1'!M15+'Side 1'!O15+'Side 1'!Q15+'Side 1'!S15+'Side 1'!U15+'Side 1'!W15+'Side 1'!Y15+'Side 1'!AA15+'Side 1'!AC15+'Side 2'!C15+'Side 2'!E15+'Side 2'!G15+'Side 2'!I15+'Side 2'!K15+'Side 2'!M15+'Side 2'!O15+'Side 2'!Q15+'Side 2'!S15+'Side 2'!U15+'Side 2'!W15+'Side 2'!Y15+'Side 2'!AA15</f>
        <v>1069</v>
      </c>
      <c r="AD15" s="15" t="s">
        <v>30</v>
      </c>
      <c r="AE15" s="5"/>
      <c r="AF15" s="5"/>
      <c r="AG15" s="5"/>
    </row>
    <row r="16" spans="1:33" ht="66" customHeight="1" x14ac:dyDescent="0.7">
      <c r="A16" s="3" t="s">
        <v>31</v>
      </c>
      <c r="B16" s="27">
        <v>1</v>
      </c>
      <c r="C16" s="25">
        <v>19</v>
      </c>
      <c r="D16" s="27">
        <v>2</v>
      </c>
      <c r="E16" s="26">
        <f>15+12</f>
        <v>27</v>
      </c>
      <c r="F16" s="27">
        <v>2</v>
      </c>
      <c r="G16" s="25">
        <f>24+23</f>
        <v>47</v>
      </c>
      <c r="H16" s="27">
        <v>2</v>
      </c>
      <c r="I16" s="25">
        <f>21+21</f>
        <v>42</v>
      </c>
      <c r="J16" s="27">
        <v>1</v>
      </c>
      <c r="K16" s="25">
        <v>16</v>
      </c>
      <c r="L16" s="27">
        <v>3</v>
      </c>
      <c r="M16" s="25">
        <f>19+16+24</f>
        <v>59</v>
      </c>
      <c r="N16" s="27"/>
      <c r="O16" s="25"/>
      <c r="P16" s="27">
        <v>2</v>
      </c>
      <c r="Q16" s="26">
        <f>18+18</f>
        <v>36</v>
      </c>
      <c r="R16" s="27">
        <v>1</v>
      </c>
      <c r="S16" s="26">
        <v>17</v>
      </c>
      <c r="T16" s="27">
        <v>2</v>
      </c>
      <c r="U16" s="26">
        <f>27+28</f>
        <v>55</v>
      </c>
      <c r="V16" s="27"/>
      <c r="W16" s="26"/>
      <c r="X16" s="27"/>
      <c r="Y16" s="26"/>
      <c r="Z16" s="27"/>
      <c r="AA16" s="25"/>
      <c r="AB16" s="24">
        <f>+Z16+X16+V16+T16+R16+P16+N16+L16+J16+H16+F16+D16+B16+'Side 1'!AB16+'Side 1'!Z16+'Side 1'!X16+'Side 1'!V16+'Side 1'!T16+'Side 1'!R16+'Side 1'!P16+'Side 1'!N16+'Side 1'!L16+'Side 1'!J16+'Side 1'!H16+'Side 1'!F16+'Side 1'!D16+'Side 1'!B16</f>
        <v>49</v>
      </c>
      <c r="AC16" s="26">
        <f>+'Side 1'!C16+'Side 1'!E16+'Side 1'!G16+'Side 1'!I16+'Side 1'!K16+'Side 1'!M16+'Side 1'!O16+'Side 1'!Q16+'Side 1'!S16+'Side 1'!U16+'Side 1'!W16+'Side 1'!Y16+'Side 1'!AA16+'Side 1'!AC16+'Side 2'!C16+'Side 2'!E16+'Side 2'!G16+'Side 2'!I16+'Side 2'!K16+'Side 2'!M16+'Side 2'!O16+'Side 2'!Q16+'Side 2'!S16+'Side 2'!U16+'Side 2'!W16+'Side 2'!Y16+'Side 2'!AA16</f>
        <v>983</v>
      </c>
      <c r="AD16" s="15" t="s">
        <v>31</v>
      </c>
      <c r="AE16" s="5"/>
      <c r="AF16" s="5"/>
      <c r="AG16" s="5"/>
    </row>
    <row r="17" spans="1:33" ht="66" customHeight="1" thickBot="1" x14ac:dyDescent="0.75">
      <c r="A17" s="3" t="s">
        <v>32</v>
      </c>
      <c r="B17" s="28"/>
      <c r="C17" s="25"/>
      <c r="D17" s="29"/>
      <c r="E17" s="30"/>
      <c r="F17" s="27"/>
      <c r="G17" s="25"/>
      <c r="H17" s="27"/>
      <c r="I17" s="25"/>
      <c r="J17" s="27"/>
      <c r="K17" s="25"/>
      <c r="L17" s="27"/>
      <c r="M17" s="25"/>
      <c r="N17" s="27"/>
      <c r="O17" s="25"/>
      <c r="P17" s="27"/>
      <c r="Q17" s="26"/>
      <c r="R17" s="27"/>
      <c r="S17" s="26"/>
      <c r="T17" s="27"/>
      <c r="U17" s="26"/>
      <c r="V17" s="27"/>
      <c r="W17" s="26"/>
      <c r="X17" s="27">
        <v>6</v>
      </c>
      <c r="Y17" s="26">
        <v>75</v>
      </c>
      <c r="Z17" s="27">
        <v>3</v>
      </c>
      <c r="AA17" s="31">
        <v>80</v>
      </c>
      <c r="AB17" s="24">
        <f>+Z17+X17+V17+T17+R17+P17+N17+L17+J17+H17+F17+D17+B17+'Side 1'!AB17+'Side 1'!Z17+'Side 1'!X17+'Side 1'!V17+'Side 1'!T17+'Side 1'!R17+'Side 1'!P17+'Side 1'!N17+'Side 1'!L17+'Side 1'!J17+'Side 1'!H17+'Side 1'!F17+'Side 1'!D17+'Side 1'!B17</f>
        <v>9</v>
      </c>
      <c r="AC17" s="32">
        <f>+'Side 1'!C17+'Side 1'!E17+'Side 1'!G17+'Side 1'!I17+'Side 1'!K17+'Side 1'!M17+'Side 1'!O17+'Side 1'!Q17+'Side 1'!S17+'Side 1'!U17+'Side 1'!W17+'Side 1'!Y17+'Side 1'!AA17+'Side 1'!AC17+'Side 2'!C17+'Side 2'!E17+'Side 2'!G17+'Side 2'!I17+'Side 2'!K17+'Side 2'!M17+'Side 2'!O17+'Side 2'!Q17+'Side 2'!S17+'Side 2'!U17+'Side 2'!W17+'Side 2'!Y17+'Side 2'!AA17</f>
        <v>155</v>
      </c>
      <c r="AD17" s="15" t="s">
        <v>32</v>
      </c>
      <c r="AE17" s="5"/>
      <c r="AF17" s="5"/>
      <c r="AG17" s="5"/>
    </row>
    <row r="18" spans="1:33" ht="66" customHeight="1" thickBot="1" x14ac:dyDescent="0.55000000000000004">
      <c r="A18" s="6" t="s">
        <v>33</v>
      </c>
      <c r="B18" s="33">
        <f>SUM(B7:B17)</f>
        <v>11</v>
      </c>
      <c r="C18" s="33">
        <f t="shared" ref="C18:AA18" si="0">SUM(C7:C17)</f>
        <v>221</v>
      </c>
      <c r="D18" s="33">
        <f t="shared" si="0"/>
        <v>19</v>
      </c>
      <c r="E18" s="33">
        <f t="shared" si="0"/>
        <v>368</v>
      </c>
      <c r="F18" s="33">
        <f t="shared" si="0"/>
        <v>23</v>
      </c>
      <c r="G18" s="33">
        <f t="shared" si="0"/>
        <v>505</v>
      </c>
      <c r="H18" s="33">
        <f t="shared" si="0"/>
        <v>19</v>
      </c>
      <c r="I18" s="33">
        <f t="shared" si="0"/>
        <v>388</v>
      </c>
      <c r="J18" s="33">
        <f t="shared" si="0"/>
        <v>16</v>
      </c>
      <c r="K18" s="33">
        <f t="shared" si="0"/>
        <v>253</v>
      </c>
      <c r="L18" s="33">
        <f t="shared" si="0"/>
        <v>26</v>
      </c>
      <c r="M18" s="33">
        <f t="shared" si="0"/>
        <v>564</v>
      </c>
      <c r="N18" s="33">
        <f t="shared" si="0"/>
        <v>13</v>
      </c>
      <c r="O18" s="33">
        <f t="shared" si="0"/>
        <v>208</v>
      </c>
      <c r="P18" s="33">
        <f t="shared" si="0"/>
        <v>22</v>
      </c>
      <c r="Q18" s="33">
        <f t="shared" si="0"/>
        <v>435</v>
      </c>
      <c r="R18" s="33">
        <f t="shared" si="0"/>
        <v>16</v>
      </c>
      <c r="S18" s="33">
        <f t="shared" si="0"/>
        <v>311</v>
      </c>
      <c r="T18" s="33">
        <f t="shared" si="0"/>
        <v>23</v>
      </c>
      <c r="U18" s="33">
        <f t="shared" si="0"/>
        <v>515</v>
      </c>
      <c r="V18" s="33">
        <f t="shared" si="0"/>
        <v>7</v>
      </c>
      <c r="W18" s="33">
        <f t="shared" si="0"/>
        <v>118</v>
      </c>
      <c r="X18" s="33">
        <f t="shared" si="0"/>
        <v>6</v>
      </c>
      <c r="Y18" s="33">
        <f t="shared" si="0"/>
        <v>75</v>
      </c>
      <c r="Z18" s="33">
        <f t="shared" si="0"/>
        <v>3</v>
      </c>
      <c r="AA18" s="33">
        <f t="shared" si="0"/>
        <v>80</v>
      </c>
      <c r="AB18" s="34">
        <f>SUM(AB7:AB17)</f>
        <v>509</v>
      </c>
      <c r="AC18" s="35">
        <f>SUM(AC7:AC17)</f>
        <v>10568</v>
      </c>
      <c r="AD18" s="7" t="s">
        <v>33</v>
      </c>
      <c r="AE18" s="5"/>
      <c r="AF18" s="5"/>
      <c r="AG18" s="5"/>
    </row>
    <row r="19" spans="1:33" ht="66" customHeight="1" x14ac:dyDescent="0.7">
      <c r="A19" s="15"/>
      <c r="B19" s="36"/>
      <c r="C19" s="37"/>
      <c r="D19" s="36"/>
      <c r="E19" s="37"/>
      <c r="F19" s="36"/>
      <c r="G19" s="37"/>
      <c r="H19" s="36"/>
      <c r="I19" s="37"/>
      <c r="J19" s="36"/>
      <c r="K19" s="37"/>
      <c r="L19" s="36"/>
      <c r="M19" s="37"/>
      <c r="N19" s="36"/>
      <c r="O19" s="37"/>
      <c r="P19" s="36"/>
      <c r="Q19" s="37"/>
      <c r="R19" s="36"/>
      <c r="S19" s="37"/>
      <c r="T19" s="36"/>
      <c r="U19" s="37"/>
      <c r="V19" s="36"/>
      <c r="W19" s="37"/>
      <c r="X19" s="36"/>
      <c r="Y19" s="37"/>
      <c r="Z19" s="36"/>
      <c r="AA19" s="37"/>
      <c r="AB19" s="36"/>
      <c r="AC19" s="37"/>
      <c r="AD19" s="15"/>
      <c r="AE19" s="5"/>
      <c r="AF19" s="5"/>
      <c r="AG19" s="5"/>
    </row>
    <row r="20" spans="1:33" ht="66" customHeight="1" x14ac:dyDescent="0.7">
      <c r="A20" s="3" t="s">
        <v>34</v>
      </c>
      <c r="B20" s="27"/>
      <c r="C20" s="26"/>
      <c r="D20" s="27"/>
      <c r="E20" s="26"/>
      <c r="F20" s="27"/>
      <c r="G20" s="26"/>
      <c r="H20" s="27"/>
      <c r="I20" s="38">
        <v>17</v>
      </c>
      <c r="J20" s="27"/>
      <c r="K20" s="39">
        <v>85</v>
      </c>
      <c r="L20" s="27"/>
      <c r="M20" s="26"/>
      <c r="N20" s="27"/>
      <c r="O20" s="26"/>
      <c r="P20" s="27"/>
      <c r="Q20" s="39">
        <v>47</v>
      </c>
      <c r="R20" s="27"/>
      <c r="S20" s="26"/>
      <c r="T20" s="27"/>
      <c r="U20" s="26"/>
      <c r="V20" s="27"/>
      <c r="W20" s="26"/>
      <c r="X20" s="27"/>
      <c r="Y20" s="26"/>
      <c r="Z20" s="27"/>
      <c r="AA20" s="26"/>
      <c r="AB20" s="27"/>
      <c r="AC20" s="40">
        <f>+'Side 2'!K20+'Side 2'!Q20+'Side 2'!I20</f>
        <v>149</v>
      </c>
      <c r="AD20" s="15" t="s">
        <v>34</v>
      </c>
      <c r="AE20" s="5"/>
      <c r="AF20" s="5"/>
      <c r="AG20" s="5"/>
    </row>
    <row r="21" spans="1:33" ht="66" customHeight="1" x14ac:dyDescent="0.7">
      <c r="A21" s="3"/>
      <c r="B21" s="27"/>
      <c r="C21" s="26"/>
      <c r="D21" s="27"/>
      <c r="E21" s="26"/>
      <c r="F21" s="27"/>
      <c r="G21" s="26"/>
      <c r="H21" s="27"/>
      <c r="I21" s="26"/>
      <c r="J21" s="27"/>
      <c r="K21" s="26"/>
      <c r="L21" s="27"/>
      <c r="M21" s="26"/>
      <c r="N21" s="27"/>
      <c r="O21" s="26"/>
      <c r="P21" s="27"/>
      <c r="Q21" s="26"/>
      <c r="R21" s="27"/>
      <c r="S21" s="26"/>
      <c r="T21" s="27"/>
      <c r="U21" s="26"/>
      <c r="V21" s="27"/>
      <c r="W21" s="26"/>
      <c r="X21" s="27"/>
      <c r="Y21" s="26"/>
      <c r="Z21" s="27"/>
      <c r="AA21" s="26"/>
      <c r="AB21" s="27"/>
      <c r="AC21" s="40"/>
      <c r="AD21" s="15"/>
      <c r="AE21" s="5"/>
      <c r="AF21" s="5"/>
      <c r="AG21" s="5"/>
    </row>
    <row r="22" spans="1:33" ht="66" customHeight="1" x14ac:dyDescent="0.7">
      <c r="A22" s="3" t="s">
        <v>35</v>
      </c>
      <c r="B22" s="27"/>
      <c r="C22" s="26"/>
      <c r="D22" s="27"/>
      <c r="E22" s="26"/>
      <c r="F22" s="27"/>
      <c r="G22" s="26"/>
      <c r="H22" s="27"/>
      <c r="I22" s="26"/>
      <c r="J22" s="27"/>
      <c r="K22" s="26"/>
      <c r="L22" s="27"/>
      <c r="M22" s="26"/>
      <c r="N22" s="27"/>
      <c r="O22" s="26"/>
      <c r="P22" s="27"/>
      <c r="Q22" s="38">
        <v>41</v>
      </c>
      <c r="R22" s="27"/>
      <c r="S22" s="26"/>
      <c r="T22" s="27"/>
      <c r="U22" s="26"/>
      <c r="V22" s="27"/>
      <c r="W22" s="26"/>
      <c r="X22" s="27"/>
      <c r="Y22" s="26"/>
      <c r="Z22" s="27"/>
      <c r="AA22" s="26"/>
      <c r="AB22" s="27"/>
      <c r="AC22" s="40">
        <f>+'Side 1'!O22+'Side 2'!Q22</f>
        <v>102</v>
      </c>
      <c r="AD22" s="15" t="s">
        <v>35</v>
      </c>
      <c r="AE22" s="5"/>
      <c r="AF22" s="5"/>
      <c r="AG22" s="5"/>
    </row>
    <row r="23" spans="1:33" ht="66" customHeight="1" x14ac:dyDescent="0.7">
      <c r="A23" s="3"/>
      <c r="B23" s="27"/>
      <c r="C23" s="26"/>
      <c r="D23" s="27"/>
      <c r="E23" s="26"/>
      <c r="F23" s="27"/>
      <c r="G23" s="26"/>
      <c r="H23" s="27"/>
      <c r="I23" s="26"/>
      <c r="J23" s="27"/>
      <c r="K23" s="26"/>
      <c r="L23" s="27"/>
      <c r="M23" s="26"/>
      <c r="N23" s="27"/>
      <c r="O23" s="26"/>
      <c r="P23" s="27"/>
      <c r="Q23" s="26"/>
      <c r="R23" s="27"/>
      <c r="S23" s="26"/>
      <c r="T23" s="27"/>
      <c r="U23" s="26"/>
      <c r="V23" s="27"/>
      <c r="W23" s="26"/>
      <c r="X23" s="27"/>
      <c r="Y23" s="26"/>
      <c r="Z23" s="27"/>
      <c r="AA23" s="26"/>
      <c r="AB23" s="27"/>
      <c r="AC23" s="40"/>
      <c r="AD23" s="15"/>
      <c r="AE23" s="5"/>
      <c r="AF23" s="5"/>
      <c r="AG23" s="5"/>
    </row>
    <row r="24" spans="1:33" ht="66" customHeight="1" x14ac:dyDescent="0.7">
      <c r="A24" s="3" t="s">
        <v>36</v>
      </c>
      <c r="B24" s="27"/>
      <c r="C24" s="38">
        <v>74</v>
      </c>
      <c r="D24" s="27"/>
      <c r="E24" s="26"/>
      <c r="F24" s="27"/>
      <c r="G24" s="26"/>
      <c r="H24" s="27"/>
      <c r="I24" s="26"/>
      <c r="J24" s="27"/>
      <c r="K24" s="26"/>
      <c r="L24" s="27"/>
      <c r="M24" s="26"/>
      <c r="N24" s="27"/>
      <c r="O24" s="26"/>
      <c r="P24" s="27"/>
      <c r="Q24" s="26"/>
      <c r="R24" s="27"/>
      <c r="S24" s="26"/>
      <c r="T24" s="27"/>
      <c r="U24" s="26"/>
      <c r="V24" s="27"/>
      <c r="W24" s="26"/>
      <c r="X24" s="27"/>
      <c r="Y24" s="26"/>
      <c r="Z24" s="27"/>
      <c r="AA24" s="26"/>
      <c r="AB24" s="27"/>
      <c r="AC24" s="40">
        <f>+'Side 1'!K24+'Side 1'!M24+'Side 1'!U24+'Side 2'!C24</f>
        <v>286</v>
      </c>
      <c r="AD24" s="15" t="s">
        <v>36</v>
      </c>
      <c r="AE24" s="5"/>
      <c r="AF24" s="5"/>
      <c r="AG24" s="5"/>
    </row>
    <row r="25" spans="1:33" ht="66" customHeight="1" x14ac:dyDescent="0.7">
      <c r="A25" s="3"/>
      <c r="B25" s="27"/>
      <c r="C25" s="26"/>
      <c r="D25" s="27"/>
      <c r="E25" s="26"/>
      <c r="F25" s="27"/>
      <c r="G25" s="26"/>
      <c r="H25" s="27"/>
      <c r="I25" s="26"/>
      <c r="J25" s="27"/>
      <c r="K25" s="26"/>
      <c r="L25" s="27"/>
      <c r="M25" s="26"/>
      <c r="N25" s="27"/>
      <c r="O25" s="26"/>
      <c r="P25" s="27"/>
      <c r="Q25" s="26"/>
      <c r="R25" s="27"/>
      <c r="S25" s="26"/>
      <c r="T25" s="27"/>
      <c r="U25" s="26"/>
      <c r="V25" s="27"/>
      <c r="W25" s="26"/>
      <c r="X25" s="27"/>
      <c r="Y25" s="26"/>
      <c r="Z25" s="27"/>
      <c r="AA25" s="26"/>
      <c r="AB25" s="27"/>
      <c r="AC25" s="40"/>
      <c r="AD25" s="15"/>
      <c r="AE25" s="5"/>
      <c r="AF25" s="5"/>
      <c r="AG25" s="5"/>
    </row>
    <row r="26" spans="1:33" ht="126.75" customHeight="1" x14ac:dyDescent="0.7">
      <c r="A26" s="17" t="str">
        <f>+'Side 1'!A26</f>
        <v>Klasse for ældre fr.sprogede/modt kl</v>
      </c>
      <c r="B26" s="27"/>
      <c r="C26" s="26"/>
      <c r="D26" s="27"/>
      <c r="E26" s="26"/>
      <c r="F26" s="27"/>
      <c r="G26" s="26"/>
      <c r="H26" s="27"/>
      <c r="I26" s="26"/>
      <c r="J26" s="27"/>
      <c r="K26" s="26"/>
      <c r="L26" s="27"/>
      <c r="M26" s="26"/>
      <c r="N26" s="27"/>
      <c r="O26" s="26"/>
      <c r="P26" s="27"/>
      <c r="Q26" s="26"/>
      <c r="R26" s="27"/>
      <c r="S26" s="26"/>
      <c r="T26" s="27"/>
      <c r="U26" s="26"/>
      <c r="V26" s="27"/>
      <c r="W26" s="26"/>
      <c r="X26" s="27"/>
      <c r="Y26" s="26"/>
      <c r="Z26" s="27"/>
      <c r="AA26" s="26">
        <v>30</v>
      </c>
      <c r="AB26" s="27"/>
      <c r="AC26" s="40">
        <f>+AA26+'Side 1'!S26</f>
        <v>30</v>
      </c>
      <c r="AD26" s="22" t="str">
        <f>+A26</f>
        <v>Klasse for ældre fr.sprogede/modt kl</v>
      </c>
      <c r="AE26" s="23"/>
      <c r="AF26" s="23"/>
      <c r="AG26" s="23"/>
    </row>
    <row r="27" spans="1:33" ht="66" customHeight="1" thickBot="1" x14ac:dyDescent="0.75">
      <c r="A27" s="3"/>
      <c r="B27" s="29"/>
      <c r="C27" s="30"/>
      <c r="D27" s="29"/>
      <c r="E27" s="30"/>
      <c r="F27" s="29"/>
      <c r="G27" s="30"/>
      <c r="H27" s="29"/>
      <c r="I27" s="30"/>
      <c r="J27" s="29"/>
      <c r="K27" s="30"/>
      <c r="L27" s="29"/>
      <c r="M27" s="30"/>
      <c r="N27" s="29"/>
      <c r="O27" s="30"/>
      <c r="P27" s="29"/>
      <c r="Q27" s="30"/>
      <c r="R27" s="29"/>
      <c r="S27" s="30"/>
      <c r="T27" s="29"/>
      <c r="U27" s="30"/>
      <c r="V27" s="29"/>
      <c r="W27" s="30"/>
      <c r="X27" s="29"/>
      <c r="Y27" s="30"/>
      <c r="Z27" s="29"/>
      <c r="AA27" s="30"/>
      <c r="AB27" s="27"/>
      <c r="AC27" s="40"/>
      <c r="AD27" s="15"/>
      <c r="AE27" s="5"/>
      <c r="AF27" s="5"/>
      <c r="AG27" s="5"/>
    </row>
    <row r="28" spans="1:33" ht="66" customHeight="1" thickBot="1" x14ac:dyDescent="0.55000000000000004">
      <c r="A28" s="6" t="s">
        <v>37</v>
      </c>
      <c r="B28" s="33">
        <f>SUM(B19:B27)</f>
        <v>0</v>
      </c>
      <c r="C28" s="33">
        <f t="shared" ref="C28:AB28" si="1">SUM(C19:C27)</f>
        <v>74</v>
      </c>
      <c r="D28" s="33">
        <f t="shared" si="1"/>
        <v>0</v>
      </c>
      <c r="E28" s="33">
        <f t="shared" si="1"/>
        <v>0</v>
      </c>
      <c r="F28" s="33">
        <f t="shared" si="1"/>
        <v>0</v>
      </c>
      <c r="G28" s="33">
        <f t="shared" si="1"/>
        <v>0</v>
      </c>
      <c r="H28" s="33">
        <f t="shared" si="1"/>
        <v>0</v>
      </c>
      <c r="I28" s="33">
        <f t="shared" si="1"/>
        <v>17</v>
      </c>
      <c r="J28" s="33">
        <f t="shared" si="1"/>
        <v>0</v>
      </c>
      <c r="K28" s="33">
        <f t="shared" si="1"/>
        <v>85</v>
      </c>
      <c r="L28" s="33">
        <f t="shared" si="1"/>
        <v>0</v>
      </c>
      <c r="M28" s="33">
        <f t="shared" si="1"/>
        <v>0</v>
      </c>
      <c r="N28" s="33">
        <f t="shared" si="1"/>
        <v>0</v>
      </c>
      <c r="O28" s="33">
        <f t="shared" si="1"/>
        <v>0</v>
      </c>
      <c r="P28" s="33">
        <f t="shared" si="1"/>
        <v>0</v>
      </c>
      <c r="Q28" s="33">
        <f t="shared" si="1"/>
        <v>88</v>
      </c>
      <c r="R28" s="33">
        <f t="shared" si="1"/>
        <v>0</v>
      </c>
      <c r="S28" s="33">
        <f t="shared" si="1"/>
        <v>0</v>
      </c>
      <c r="T28" s="33">
        <f t="shared" si="1"/>
        <v>0</v>
      </c>
      <c r="U28" s="33">
        <f t="shared" si="1"/>
        <v>0</v>
      </c>
      <c r="V28" s="33">
        <f t="shared" si="1"/>
        <v>0</v>
      </c>
      <c r="W28" s="33">
        <f t="shared" si="1"/>
        <v>0</v>
      </c>
      <c r="X28" s="33">
        <f t="shared" si="1"/>
        <v>0</v>
      </c>
      <c r="Y28" s="33">
        <f t="shared" si="1"/>
        <v>0</v>
      </c>
      <c r="Z28" s="33">
        <f t="shared" si="1"/>
        <v>0</v>
      </c>
      <c r="AA28" s="33">
        <f t="shared" si="1"/>
        <v>30</v>
      </c>
      <c r="AB28" s="33">
        <f t="shared" si="1"/>
        <v>0</v>
      </c>
      <c r="AC28" s="41">
        <f>+AA28+Y28+W28+U28+S28+Q28+O28+M28+K28+I28+G28+E28+C28+'Side 1'!C28+'Side 1'!E28+'Side 1'!G28+'Side 1'!I28+'Side 1'!K28+'Side 1'!M28+'Side 1'!O28+'Side 1'!S28+'Side 1'!U28</f>
        <v>567</v>
      </c>
      <c r="AD28" s="8" t="s">
        <v>37</v>
      </c>
      <c r="AE28" s="5"/>
      <c r="AF28" s="5"/>
      <c r="AG28" s="5"/>
    </row>
    <row r="29" spans="1:33" ht="66" customHeight="1" thickBot="1" x14ac:dyDescent="0.75">
      <c r="A29" s="4"/>
      <c r="B29" s="42"/>
      <c r="C29" s="43"/>
      <c r="D29" s="42"/>
      <c r="E29" s="43"/>
      <c r="F29" s="42"/>
      <c r="G29" s="43"/>
      <c r="H29" s="42"/>
      <c r="I29" s="43"/>
      <c r="J29" s="42"/>
      <c r="K29" s="43"/>
      <c r="L29" s="42"/>
      <c r="M29" s="43"/>
      <c r="N29" s="42"/>
      <c r="O29" s="44"/>
      <c r="P29" s="25"/>
      <c r="Q29" s="44"/>
      <c r="R29" s="25"/>
      <c r="S29" s="44"/>
      <c r="T29" s="25"/>
      <c r="U29" s="44"/>
      <c r="V29" s="25"/>
      <c r="W29" s="44"/>
      <c r="X29" s="25"/>
      <c r="Y29" s="44"/>
      <c r="Z29" s="25"/>
      <c r="AA29" s="44"/>
      <c r="AB29" s="25"/>
      <c r="AC29" s="45"/>
      <c r="AD29" s="15"/>
      <c r="AE29" s="5"/>
      <c r="AF29" s="5"/>
      <c r="AG29" s="5"/>
    </row>
    <row r="30" spans="1:33" ht="66" customHeight="1" thickBot="1" x14ac:dyDescent="0.55000000000000004">
      <c r="A30" s="6" t="s">
        <v>38</v>
      </c>
      <c r="B30" s="33">
        <f>+B18+B28</f>
        <v>11</v>
      </c>
      <c r="C30" s="33">
        <f t="shared" ref="C30:AC30" si="2">+C18+C28</f>
        <v>295</v>
      </c>
      <c r="D30" s="33">
        <f t="shared" si="2"/>
        <v>19</v>
      </c>
      <c r="E30" s="33">
        <f t="shared" si="2"/>
        <v>368</v>
      </c>
      <c r="F30" s="33">
        <f t="shared" si="2"/>
        <v>23</v>
      </c>
      <c r="G30" s="33">
        <f t="shared" si="2"/>
        <v>505</v>
      </c>
      <c r="H30" s="33">
        <f t="shared" si="2"/>
        <v>19</v>
      </c>
      <c r="I30" s="33">
        <f t="shared" si="2"/>
        <v>405</v>
      </c>
      <c r="J30" s="33">
        <f t="shared" si="2"/>
        <v>16</v>
      </c>
      <c r="K30" s="33">
        <f t="shared" si="2"/>
        <v>338</v>
      </c>
      <c r="L30" s="33">
        <f t="shared" si="2"/>
        <v>26</v>
      </c>
      <c r="M30" s="33">
        <f t="shared" si="2"/>
        <v>564</v>
      </c>
      <c r="N30" s="33">
        <f t="shared" si="2"/>
        <v>13</v>
      </c>
      <c r="O30" s="33">
        <f t="shared" si="2"/>
        <v>208</v>
      </c>
      <c r="P30" s="33">
        <f t="shared" si="2"/>
        <v>22</v>
      </c>
      <c r="Q30" s="33">
        <f t="shared" si="2"/>
        <v>523</v>
      </c>
      <c r="R30" s="33">
        <f t="shared" si="2"/>
        <v>16</v>
      </c>
      <c r="S30" s="33">
        <f t="shared" si="2"/>
        <v>311</v>
      </c>
      <c r="T30" s="33">
        <f t="shared" si="2"/>
        <v>23</v>
      </c>
      <c r="U30" s="33">
        <f t="shared" si="2"/>
        <v>515</v>
      </c>
      <c r="V30" s="33">
        <f t="shared" si="2"/>
        <v>7</v>
      </c>
      <c r="W30" s="33">
        <f t="shared" si="2"/>
        <v>118</v>
      </c>
      <c r="X30" s="33">
        <f t="shared" si="2"/>
        <v>6</v>
      </c>
      <c r="Y30" s="33">
        <f t="shared" si="2"/>
        <v>75</v>
      </c>
      <c r="Z30" s="33">
        <f t="shared" si="2"/>
        <v>3</v>
      </c>
      <c r="AA30" s="33">
        <f t="shared" si="2"/>
        <v>110</v>
      </c>
      <c r="AB30" s="33">
        <f t="shared" si="2"/>
        <v>509</v>
      </c>
      <c r="AC30" s="33">
        <f t="shared" si="2"/>
        <v>11135</v>
      </c>
      <c r="AD30" s="8" t="s">
        <v>38</v>
      </c>
      <c r="AE30" s="5"/>
      <c r="AF30" s="5"/>
      <c r="AG30" s="5"/>
    </row>
    <row r="31" spans="1:33" ht="66" customHeight="1" x14ac:dyDescent="0.5">
      <c r="A31" s="3"/>
      <c r="B31" s="46"/>
      <c r="C31" s="47"/>
      <c r="D31" s="46"/>
      <c r="E31" s="47"/>
      <c r="F31" s="46"/>
      <c r="G31" s="48"/>
      <c r="H31" s="46"/>
      <c r="I31" s="47"/>
      <c r="J31" s="46"/>
      <c r="K31" s="47"/>
      <c r="L31" s="46"/>
      <c r="M31" s="47"/>
      <c r="N31" s="49"/>
      <c r="O31" s="48"/>
      <c r="P31" s="46"/>
      <c r="Q31" s="47"/>
      <c r="R31" s="46"/>
      <c r="S31" s="47"/>
      <c r="T31" s="46"/>
      <c r="U31" s="47"/>
      <c r="V31" s="46"/>
      <c r="W31" s="47"/>
      <c r="X31" s="49"/>
      <c r="Y31" s="47"/>
      <c r="Z31" s="46"/>
      <c r="AA31" s="47"/>
      <c r="AB31" s="46"/>
      <c r="AC31" s="47"/>
      <c r="AD31" s="15"/>
      <c r="AE31" s="5"/>
      <c r="AF31" s="5"/>
      <c r="AG31" s="5"/>
    </row>
    <row r="32" spans="1:33" ht="66" customHeight="1" x14ac:dyDescent="0.5">
      <c r="A32" s="3" t="s">
        <v>39</v>
      </c>
      <c r="B32" s="50"/>
      <c r="C32" s="51">
        <v>126</v>
      </c>
      <c r="D32" s="50"/>
      <c r="E32" s="51">
        <v>180</v>
      </c>
      <c r="F32" s="50"/>
      <c r="G32" s="51">
        <v>248</v>
      </c>
      <c r="H32" s="50"/>
      <c r="I32" s="51">
        <v>204</v>
      </c>
      <c r="J32" s="50"/>
      <c r="K32" s="51">
        <v>145</v>
      </c>
      <c r="L32" s="50"/>
      <c r="M32" s="51">
        <v>288</v>
      </c>
      <c r="N32" s="50"/>
      <c r="O32" s="51">
        <v>101</v>
      </c>
      <c r="P32" s="50"/>
      <c r="Q32" s="51">
        <v>265</v>
      </c>
      <c r="R32" s="50"/>
      <c r="S32" s="51">
        <v>164</v>
      </c>
      <c r="T32" s="50"/>
      <c r="U32" s="51">
        <v>257</v>
      </c>
      <c r="V32" s="50"/>
      <c r="W32" s="51">
        <v>62</v>
      </c>
      <c r="X32" s="50"/>
      <c r="Y32" s="51">
        <v>42</v>
      </c>
      <c r="Z32" s="50"/>
      <c r="AA32" s="51">
        <v>39</v>
      </c>
      <c r="AB32" s="50"/>
      <c r="AC32" s="51">
        <f>+'Side 1'!C32+'Side 1'!E32+'Side 1'!G32+'Side 1'!I32+'Side 1'!K32+'Side 1'!M32+'Side 1'!O32+'Side 1'!Q32+'Side 1'!S32+'Side 1'!U32+'Side 1'!W32+'Side 1'!Y32+'Side 1'!AA32+'Side 1'!AC32+'Side 2'!C32+'Side 2'!E32+'Side 2'!G32+'Side 2'!I32+'Side 2'!K32+'Side 2'!M32+'Side 2'!O32+'Side 2'!Q32+'Side 2'!S32+'Side 2'!U32+'Side 2'!W32+'Side 2'!Y32+'Side 2'!AA32</f>
        <v>5371</v>
      </c>
      <c r="AD32" s="15" t="s">
        <v>39</v>
      </c>
      <c r="AE32" s="5"/>
      <c r="AF32" s="5"/>
      <c r="AG32" s="5"/>
    </row>
    <row r="33" spans="1:33" ht="66" customHeight="1" thickBot="1" x14ac:dyDescent="0.55000000000000004">
      <c r="A33" s="3" t="s">
        <v>40</v>
      </c>
      <c r="B33" s="52"/>
      <c r="C33" s="53">
        <v>169</v>
      </c>
      <c r="D33" s="52"/>
      <c r="E33" s="53">
        <v>188</v>
      </c>
      <c r="F33" s="52"/>
      <c r="G33" s="53">
        <v>257</v>
      </c>
      <c r="H33" s="52"/>
      <c r="I33" s="53">
        <v>201</v>
      </c>
      <c r="J33" s="52"/>
      <c r="K33" s="53">
        <v>193</v>
      </c>
      <c r="L33" s="52"/>
      <c r="M33" s="53">
        <v>276</v>
      </c>
      <c r="N33" s="52"/>
      <c r="O33" s="53">
        <v>107</v>
      </c>
      <c r="P33" s="52"/>
      <c r="Q33" s="53">
        <v>258</v>
      </c>
      <c r="R33" s="52"/>
      <c r="S33" s="53">
        <v>147</v>
      </c>
      <c r="T33" s="52"/>
      <c r="U33" s="53">
        <v>258</v>
      </c>
      <c r="V33" s="52"/>
      <c r="W33" s="53">
        <v>56</v>
      </c>
      <c r="X33" s="52"/>
      <c r="Y33" s="53">
        <v>33</v>
      </c>
      <c r="Z33" s="52"/>
      <c r="AA33" s="53">
        <v>71</v>
      </c>
      <c r="AB33" s="52"/>
      <c r="AC33" s="51">
        <f>+'Side 1'!C33+'Side 1'!E33+'Side 1'!G33+'Side 1'!I33+'Side 1'!K33+'Side 1'!M33+'Side 1'!O33+'Side 1'!Q33+'Side 1'!S33+'Side 1'!U33+'Side 1'!W33+'Side 1'!Y33+'Side 1'!AA33+'Side 1'!AC33+'Side 2'!C33+'Side 2'!E33+'Side 2'!G33+'Side 2'!I33+'Side 2'!K33+'Side 2'!M33+'Side 2'!O33+'Side 2'!Q33+'Side 2'!S33+'Side 2'!U33+'Side 2'!W33+'Side 2'!Y33+'Side 2'!AA33</f>
        <v>5764</v>
      </c>
      <c r="AD33" s="15" t="s">
        <v>40</v>
      </c>
      <c r="AE33" s="5"/>
      <c r="AF33" s="5"/>
      <c r="AG33" s="5"/>
    </row>
    <row r="34" spans="1:33" x14ac:dyDescent="0.25">
      <c r="AC34" s="1"/>
    </row>
    <row r="35" spans="1:33" ht="36" x14ac:dyDescent="0.55000000000000004">
      <c r="A35" s="63" t="s">
        <v>60</v>
      </c>
      <c r="B35" s="64"/>
      <c r="C35" s="64"/>
      <c r="D35" s="64"/>
      <c r="E35" s="64"/>
      <c r="F35" s="64"/>
      <c r="G35" s="64"/>
    </row>
  </sheetData>
  <sheetProtection sheet="1" objects="1" scenarios="1"/>
  <mergeCells count="21">
    <mergeCell ref="A1:E1"/>
    <mergeCell ref="A2:E2"/>
    <mergeCell ref="B4:G4"/>
    <mergeCell ref="H4:M4"/>
    <mergeCell ref="AB4:AC5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N4:U4"/>
    <mergeCell ref="Z5:AA5"/>
    <mergeCell ref="V4:W4"/>
    <mergeCell ref="X4:AA4"/>
  </mergeCells>
  <pageMargins left="0.25" right="0.25" top="0.75" bottom="0.75" header="0.3" footer="0.3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Side 1</vt:lpstr>
      <vt:lpstr>Side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Hartvigsen Peter. PEHA</dc:creator>
  <cp:lastModifiedBy>Peter Hartvigsen</cp:lastModifiedBy>
  <cp:lastPrinted>2024-02-12T09:18:27Z</cp:lastPrinted>
  <dcterms:created xsi:type="dcterms:W3CDTF">2019-09-23T06:55:42Z</dcterms:created>
  <dcterms:modified xsi:type="dcterms:W3CDTF">2024-04-24T12:00:39Z</dcterms:modified>
</cp:coreProperties>
</file>